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<sst xmlns="http://schemas.openxmlformats.org/spreadsheetml/2006/main" count="2583" uniqueCount="975">
  <si>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</si>
  <si>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</si>
  <si>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</si>
  <si>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</si>
  <si>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</si>
  <si>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</si>
  <si>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</si>
  <si>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</si>
  <si>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</si>
  <si>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</si>
  <si>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</si>
  <si>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</si>
  <si>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</si>
  <si>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</si>
  <si>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</si>
  <si>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</si>
  <si>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</si>
  <si>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</si>
  <si>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</si>
  <si>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</si>
  <si>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</si>
  <si>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</si>
  <si>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</si>
  <si>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</si>
  <si>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</si>
  <si>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</si>
  <si>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</si>
  <si>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</si>
  <si>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</si>
  <si>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</si>
  <si>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</si>
  <si>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</si>
  <si>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</si>
  <si>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</si>
  <si>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</si>
  <si>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</si>
  <si>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</si>
  <si>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</si>
  <si>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</si>
  <si>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</si>
  <si>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</si>
  <si>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</si>
  <si>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</si>
  <si>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</si>
  <si>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</si>
  <si>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</si>
  <si>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</si>
  <si>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</si>
  <si>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</si>
  <si>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</si>
  <si>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</si>
  <si>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</si>
  <si>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</si>
  <si>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</si>
  <si>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</si>
  <si>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</si>
  <si>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</si>
  <si>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</si>
  <si>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</si>
  <si>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</si>
  <si>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</si>
  <si>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</si>
  <si>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</si>
  <si>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</si>
  <si>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</si>
  <si>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</si>
  <si>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</si>
  <si>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</si>
  <si>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</si>
  <si>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</si>
  <si>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</si>
  <si>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</si>
  <si>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</si>
  <si>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</si>
  <si>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</si>
  <si>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</si>
  <si>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</si>
  <si>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</si>
  <si>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</si>
  <si>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</si>
  <si>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</si>
  <si>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</si>
  <si>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</si>
  <si>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</si>
  <si>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</si>
  <si>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</si>
  <si>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</si>
  <si>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</si>
  <si>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</si>
  <si>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</si>
  <si>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</si>
  <si>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</si>
  <si>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</si>
  <si>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</si>
  <si>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</si>
  <si>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</si>
  <si>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</si>
  <si>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</si>
  <si>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</si>
  <si>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</si>
  <si>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</si>
  <si>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</si>
  <si>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</si>
  <si>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</si>
  <si>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</si>
  <si>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</si>
  <si>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</si>
  <si>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</si>
  <si>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</si>
  <si>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</si>
  <si>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</si>
  <si>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</si>
  <si>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</si>
  <si>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</si>
  <si>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</si>
  <si>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</si>
  <si>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</si>
  <si>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</si>
  <si>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</si>
  <si>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</si>
  <si>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</si>
  <si>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</si>
  <si>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</si>
  <si>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</si>
  <si>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</si>
  <si>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</si>
  <si>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</si>
  <si>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</si>
  <si>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</si>
  <si>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</si>
  <si>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</si>
  <si>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</si>
  <si>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</si>
  <si>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</si>
  <si>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</si>
  <si>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</si>
  <si>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</si>
  <si>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</si>
  <si>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</si>
  <si>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</si>
  <si>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</si>
  <si>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</si>
  <si>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</si>
  <si>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</si>
  <si>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</si>
  <si>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</si>
  <si>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</si>
  <si>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</si>
  <si>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</si>
  <si>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</si>
  <si>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</si>
  <si>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</si>
  <si>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</si>
  <si>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</si>
  <si>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</si>
  <si>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</si>
  <si>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</si>
  <si>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</si>
  <si>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</si>
  <si>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</si>
  <si>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</si>
  <si>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</si>
  <si>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</si>
  <si>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</si>
  <si>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</si>
  <si>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</si>
  <si>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</si>
  <si>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</si>
  <si>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</si>
  <si>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</si>
  <si>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</si>
  <si>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</si>
  <si>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</si>
  <si>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</si>
  <si>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</si>
  <si>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</si>
  <si>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</si>
  <si>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</si>
  <si>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</si>
  <si>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</si>
  <si>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</si>
  <si>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</si>
  <si>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</si>
  <si>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</si>
  <si>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</si>
  <si>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</si>
  <si>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</si>
  <si>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</si>
  <si>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</si>
  <si>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</si>
  <si>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</si>
  <si>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</si>
  <si>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</si>
  <si>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</si>
  <si>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</si>
  <si>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</si>
  <si>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</si>
  <si>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</si>
  <si>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</si>
  <si>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</si>
  <si>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</si>
  <si>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</si>
  <si>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</si>
  <si>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</si>
  <si>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</si>
  <si>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</si>
  <si>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</si>
  <si>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</si>
  <si>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</si>
  <si>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</si>
  <si>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</si>
  <si>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</si>
  <si>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</si>
  <si>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</si>
  <si>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</si>
  <si>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</si>
  <si>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</si>
  <si>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</si>
  <si>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</si>
  <si>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</si>
  <si>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</si>
  <si>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</si>
  <si>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</si>
  <si>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</si>
  <si>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</si>
  <si>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</si>
  <si>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</si>
  <si>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</si>
  <si>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</si>
  <si>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</si>
  <si>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</si>
  <si>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</si>
  <si>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</si>
  <si>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</si>
  <si>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</si>
  <si>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</si>
  <si>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</si>
  <si>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</si>
  <si>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</si>
  <si>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</si>
  <si>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</si>
  <si>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</si>
  <si>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</si>
  <si>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</si>
  <si>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</si>
  <si>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</si>
  <si>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</si>
  <si>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</si>
  <si>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</si>
  <si>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</si>
  <si>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</si>
  <si>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</si>
  <si>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</si>
  <si>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</si>
  <si>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</si>
  <si>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</si>
  <si>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</si>
  <si>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</si>
  <si>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</si>
  <si>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</si>
  <si>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</si>
  <si>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</si>
  <si>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</si>
  <si>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</si>
  <si>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</si>
  <si>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</si>
  <si>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</si>
  <si>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</si>
  <si>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</si>
  <si>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</si>
  <si>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</si>
  <si>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</si>
  <si>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</si>
  <si>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</si>
  <si>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</si>
  <si>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</si>
  <si>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</si>
  <si>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</si>
  <si>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</si>
  <si>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</si>
  <si>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</si>
  <si>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</si>
  <si>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</si>
  <si>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</si>
  <si>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</si>
  <si>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</si>
  <si>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</si>
  <si>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</si>
  <si>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</si>
  <si>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</si>
  <si>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</si>
  <si>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</si>
  <si>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</si>
  <si>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</si>
  <si>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</si>
  <si>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</si>
  <si>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</si>
  <si>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</si>
  <si>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</si>
  <si>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</si>
  <si>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</si>
  <si>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</si>
  <si>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</si>
  <si>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</si>
  <si>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</si>
  <si>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</si>
  <si>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</si>
  <si>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</si>
  <si>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</si>
  <si>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</si>
  <si>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</si>
  <si>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</si>
  <si>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</si>
  <si>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</si>
  <si>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</si>
  <si>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</si>
  <si>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</si>
  <si>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</si>
  <si>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</si>
  <si>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</si>
  <si>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</si>
  <si>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</si>
  <si>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</si>
  <si>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</si>
  <si>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</si>
  <si>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</si>
  <si>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</si>
  <si>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</si>
  <si>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</si>
  <si>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</si>
  <si>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</si>
  <si>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</si>
  <si>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</si>
  <si>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</si>
  <si>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</si>
  <si>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</si>
  <si>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</si>
  <si>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</si>
  <si>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</si>
  <si>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</si>
  <si>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</si>
  <si>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</si>
  <si>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</si>
  <si>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</si>
  <si>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</si>
  <si>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</si>
  <si>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</si>
  <si>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</si>
  <si>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</si>
  <si>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</si>
  <si>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</si>
  <si>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</si>
  <si>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</si>
  <si>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</si>
  <si>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</si>
  <si>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</si>
  <si>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</si>
  <si>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</si>
  <si>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</si>
  <si>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</si>
  <si>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</si>
  <si>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</si>
  <si>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</si>
  <si>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</si>
  <si>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</si>
  <si>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</si>
  <si>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</si>
  <si>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</si>
  <si>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</si>
  <si>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</si>
  <si>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</si>
  <si>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</si>
  <si>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</si>
  <si>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</si>
  <si>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</si>
  <si>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</si>
  <si>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</si>
  <si>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</si>
  <si>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</si>
  <si>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</si>
  <si>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</si>
  <si>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</si>
  <si>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</si>
  <si>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</si>
  <si>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</si>
  <si>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</si>
  <si>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</si>
  <si>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</si>
  <si>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</si>
  <si>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</si>
  <si>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</si>
  <si>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</si>
  <si>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</si>
  <si>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</si>
  <si>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</si>
  <si>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</si>
  <si>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</si>
  <si>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</si>
  <si>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</si>
  <si>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</si>
  <si>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</si>
  <si>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</si>
  <si>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</si>
  <si>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</si>
  <si>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</si>
  <si>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</si>
  <si>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</si>
  <si>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</si>
  <si>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</si>
  <si>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</si>
  <si>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</si>
  <si>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</si>
  <si>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</si>
  <si>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</si>
  <si>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</si>
  <si>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</si>
  <si>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</si>
  <si>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</si>
  <si>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</si>
  <si>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</si>
  <si>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</si>
  <si>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</si>
  <si>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</si>
  <si>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</si>
  <si>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</si>
  <si>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</si>
  <si>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</si>
  <si>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</si>
  <si>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</si>
  <si>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</si>
  <si>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</si>
  <si>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</si>
  <si>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</si>
  <si>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</si>
  <si>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</si>
  <si>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</si>
  <si>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</si>
  <si>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</si>
  <si>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</si>
  <si>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</si>
  <si>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</si>
  <si>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</si>
  <si>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</si>
  <si>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</si>
  <si>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</si>
  <si>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</si>
  <si>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</si>
  <si>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</si>
  <si>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</si>
  <si>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</si>
  <si>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</si>
  <si>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</si>
  <si>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</si>
  <si>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</si>
  <si>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</si>
  <si>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</si>
  <si>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</si>
  <si>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</si>
  <si>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</si>
  <si>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</si>
  <si>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</si>
  <si>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</si>
  <si>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</si>
  <si>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</si>
  <si>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</si>
  <si>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</si>
  <si>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</si>
  <si>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</si>
  <si>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</si>
  <si>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</si>
  <si>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</si>
  <si>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</si>
  <si>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</si>
  <si>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</si>
  <si>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</si>
  <si>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</si>
  <si>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</si>
  <si>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</si>
  <si>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</si>
  <si>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</si>
  <si>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</si>
  <si>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</si>
  <si>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</si>
  <si>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</si>
  <si>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</si>
  <si>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</si>
  <si>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</si>
  <si>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</si>
  <si>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</si>
  <si>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</si>
  <si>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</si>
  <si>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</si>
  <si>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</si>
  <si>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</si>
  <si>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</si>
  <si>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</si>
  <si>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</si>
  <si>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</si>
  <si>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</si>
  <si>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</si>
  <si>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</si>
  <si>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</si>
  <si>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</si>
  <si>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</si>
  <si>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</si>
  <si>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</si>
  <si>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</si>
  <si>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</si>
  <si>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</si>
  <si>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</si>
  <si>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</si>
  <si>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</si>
  <si>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</si>
  <si>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</si>
  <si>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</si>
  <si>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</si>
  <si>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</si>
  <si>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</si>
  <si>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</si>
  <si>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</si>
  <si>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</si>
  <si>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</si>
  <si>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</si>
  <si>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</si>
  <si>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</si>
  <si>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</si>
  <si>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</si>
  <si>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</si>
  <si>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</si>
  <si>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</si>
  <si>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</si>
  <si>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</si>
  <si>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</si>
  <si>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</si>
  <si>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</si>
  <si>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</si>
  <si>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</si>
  <si>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</si>
  <si>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</si>
  <si>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</si>
  <si>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</si>
  <si>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</si>
  <si>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</si>
  <si>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</si>
  <si>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</si>
  <si>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</si>
  <si>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</si>
  <si>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</si>
  <si>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</si>
  <si>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</si>
  <si>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</si>
  <si>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</si>
  <si>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</si>
  <si>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</si>
  <si>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</si>
  <si>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</si>
  <si>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</si>
  <si>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</si>
  <si>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</si>
  <si>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</si>
  <si>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</si>
  <si>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</si>
  <si>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</si>
  <si>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</si>
  <si>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</si>
  <si>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</si>
  <si>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</si>
  <si>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</si>
  <si>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</si>
  <si>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</si>
  <si>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</si>
  <si>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</si>
  <si>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</si>
  <si>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</si>
  <si>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</si>
  <si>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</si>
  <si>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</si>
  <si>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</si>
  <si>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</si>
  <si>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</si>
  <si>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</si>
  <si>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</si>
  <si>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</si>
  <si>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</si>
  <si>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</si>
  <si>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</si>
  <si>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</si>
  <si>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</si>
  <si>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</si>
  <si>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</si>
  <si>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</si>
  <si>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</si>
  <si>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</si>
  <si>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</si>
  <si>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</si>
  <si>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</si>
  <si>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</si>
  <si>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</si>
  <si>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</si>
  <si>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</si>
  <si>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</si>
  <si>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</si>
  <si>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</si>
  <si>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</si>
  <si>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</si>
  <si>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</si>
  <si>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</si>
  <si>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</si>
  <si>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</si>
  <si>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</si>
  <si>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</si>
  <si>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</si>
  <si>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</si>
  <si>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</si>
  <si>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</si>
  <si>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</si>
  <si>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</si>
  <si>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</si>
  <si>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</si>
  <si>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</si>
  <si>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</si>
  <si>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</si>
  <si>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</si>
  <si>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</si>
  <si>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</si>
  <si>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</si>
  <si>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</si>
  <si>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</si>
  <si>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</si>
  <si>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</si>
  <si>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</si>
  <si>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</si>
  <si>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</si>
  <si>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</si>
  <si>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</si>
  <si>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</si>
  <si>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</si>
  <si>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</si>
  <si>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</si>
  <si>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</si>
  <si>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</si>
  <si>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</si>
  <si>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</si>
  <si>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</si>
  <si>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</si>
  <si>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</si>
  <si>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</si>
  <si>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</si>
  <si>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</si>
  <si>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</si>
  <si>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</si>
  <si>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</si>
  <si>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</si>
  <si>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</si>
  <si>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</si>
  <si>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</si>
  <si>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</si>
  <si>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</si>
  <si>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</si>
  <si>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</si>
  <si>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</si>
  <si>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</si>
  <si>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</si>
  <si>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</si>
  <si>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</si>
  <si>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</si>
  <si>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</si>
  <si>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</si>
  <si>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</si>
  <si>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</si>
  <si>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</si>
  <si>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</si>
  <si>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</si>
  <si>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</si>
  <si>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</si>
  <si>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</si>
  <si>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</si>
  <si>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</si>
  <si>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</si>
  <si>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</si>
  <si>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</si>
  <si>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</si>
  <si>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</si>
  <si>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</si>
  <si>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</si>
  <si>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</si>
  <si>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</si>
  <si>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</si>
  <si>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</si>
  <si>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</si>
  <si>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</si>
  <si>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</si>
  <si>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</si>
  <si>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</si>
  <si>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</si>
  <si>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</si>
  <si>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</si>
  <si>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</si>
  <si>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</si>
  <si>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</si>
  <si>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</si>
  <si>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</si>
  <si>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</si>
  <si>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</si>
  <si>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</si>
  <si>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</si>
  <si>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</si>
  <si>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</si>
  <si>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</si>
  <si>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</si>
  <si>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</si>
  <si>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</si>
  <si>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</si>
  <si>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</si>
  <si>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</si>
  <si>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</si>
  <si>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</si>
  <si>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</si>
  <si>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</si>
  <si>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</si>
  <si>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</si>
  <si>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</si>
  <si>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</si>
  <si>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</si>
  <si>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</si>
  <si>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</si>
  <si>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</si>
  <si>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</si>
  <si>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</si>
  <si>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</si>
  <si>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</si>
  <si>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</si>
  <si>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</si>
  <si>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</si>
  <si>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</si>
  <si>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</si>
  <si>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</si>
  <si>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</si>
  <si>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</si>
  <si>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</si>
  <si>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</si>
  <si>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</si>
  <si>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</si>
  <si>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</si>
  <si>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</si>
  <si>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</si>
  <si>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</si>
  <si>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</si>
  <si>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</si>
  <si>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</si>
  <si>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</si>
  <si>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</si>
  <si>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</si>
  <si>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</si>
  <si>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</si>
  <si>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</si>
  <si>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</si>
  <si>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</si>
  <si>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</si>
  <si>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</si>
  <si>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</si>
  <si>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</si>
  <si>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</si>
  <si>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</si>
  <si>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</si>
  <si>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</si>
  <si>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</si>
  <si>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</si>
  <si>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</si>
  <si>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</si>
  <si>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</si>
  <si>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</si>
  <si>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</si>
  <si>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</si>
  <si>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</si>
  <si>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</si>
  <si>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</si>
  <si>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</si>
  <si>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</si>
  <si>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</si>
  <si>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</si>
  <si>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</si>
  <si>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</si>
  <si>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</si>
  <si>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</si>
  <si>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</si>
  <si>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</si>
  <si>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</si>
  <si>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</si>
  <si>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</si>
  <si>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</si>
  <si>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</si>
  <si>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</si>
  <si>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</si>
  <si>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</si>
  <si>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</si>
  <si>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</si>
  <si>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</si>
  <si>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</si>
  <si>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</si>
  <si>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</si>
  <si>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</si>
  <si>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</si>
  <si>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</si>
  <si>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</si>
  <si>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</si>
  <si>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</si>
  <si>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</si>
  <si>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</si>
  <si>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</si>
  <si>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</si>
  <si>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</si>
  <si>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</si>
  <si>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</si>
  <si>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</si>
  <si>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</si>
  <si>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</si>
  <si>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</si>
  <si>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</si>
  <si>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</si>
  <si>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</si>
  <si>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</si>
  <si>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</si>
  <si>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</si>
  <si>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</si>
  <si>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</si>
  <si>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</si>
  <si>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</si>
  <si>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</si>
  <si>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</si>
  <si>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</si>
  <si>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</si>
  <si>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</si>
  <si>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</si>
  <si>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</si>
  <si>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</si>
  <si>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</si>
  <si>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</si>
  <si>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</si>
  <si>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</si>
  <si>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</si>
  <si>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</si>
  <si>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</si>
  <si>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</si>
  <si>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</si>
  <si>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</si>
  <si>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</si>
  <si>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</si>
  <si>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</si>
  <si>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</si>
  <si>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</si>
  <si>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</si>
  <si>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</si>
  <si>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</si>
  <si>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</si>
  <si>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</si>
  <si>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</si>
  <si>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</si>
  <si>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</si>
  <si>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</si>
  <si>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</si>
  <si>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</si>
  <si>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</si>
  <si>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</si>
  <si>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</si>
  <si>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</si>
  <si>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</si>
  <si>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</si>
  <si>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</si>
  <si>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</si>
  <si>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</si>
  <si>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</si>
  <si>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</si>
  <si>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</si>
  <si>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</si>
  <si>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</si>
  <si>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</si>
  <si>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</si>
  <si>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</si>
  <si>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</si>
  <si>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</si>
  <si>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</si>
  <si>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</si>
  <si>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</si>
  <si>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</si>
  <si>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</si>
  <si>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</si>
  <si>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</si>
  <si>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</si>
  <si>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</si>
  <si>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</si>
  <si>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</si>
  <si>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</si>
  <si>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</si>
  <si>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</si>
  <si>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</si>
  <si>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</si>
  <si>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</si>
  <si>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</si>
  <si>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</si>
  <si>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</si>
  <si>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</si>
  <si>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</si>
  <si>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</si>
  <si>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</si>
  <si>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</si>
  <si>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</si>
  <si>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</si>
  <si>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</si>
  <si>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</si>
  <si>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</si>
  <si>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</si>
  <si>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</si>
  <si>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</si>
  <si>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</si>
  <si>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</si>
  <si>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</si>
  <si>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</si>
  <si>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</si>
  <si>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</si>
  <si>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</si>
  <si>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</si>
  <si>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</si>
  <si>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</si>
  <si>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</si>
  <si>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</si>
  <si>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</si>
  <si>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</si>
  <si>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</si>
  <si>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</si>
  <si>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</si>
  <si>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</si>
  <si>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</si>
  <si>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</si>
  <si>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</si>
  <si>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</si>
  <si>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</si>
  <si>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</si>
  <si>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</si>
  <si>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</si>
  <si>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</si>
  <si>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</si>
  <si>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</si>
  <si>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</si>
  <si>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</si>
  <si>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</si>
  <si>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</si>
  <si>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</si>
  <si>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</si>
  <si>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</si>
  <si>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</si>
  <si>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</si>
  <si>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</si>
  <si>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</si>
  <si>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</si>
  <si>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</si>
  <si>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</si>
  <si>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</si>
  <si>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</si>
  <si>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24094</t>
  </si>
  <si>
    <t>ROTSELAAR</t>
  </si>
  <si>
    <t>Paarden&amp;pony's 200 - 600 kg</t>
  </si>
  <si>
    <t>Paarden&amp;pony's &lt; 200 kg</t>
  </si>
  <si>
    <t>Fluvius</t>
  </si>
  <si>
    <t>referentietaak LNE (2017); Jaarverslag De Lijn</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</si>
  <si>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</si>
  <si>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</si>
  <si>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</si>
  <si>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</si>
  <si>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</si>
  <si>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</si>
  <si>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</si>
  <si>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</si>
  <si>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(vloeibaar)</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</si>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</sst>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24094</v>
      </c>
      <c r="B6" s="386"/>
      <c r="C6" s="387"/>
    </row>
    <row r="7" spans="1:7" s="384" customFormat="1" ht="15.75" customHeight="1">
      <c r="A7" s="388" t="str">
        <f>txtMunicipality</f>
        <v>ROTSELAAR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13759.138104094671</v>
      </c>
      <c r="D10" s="676">
        <f ca="1">tertiair!C16</f>
        <v>64.285714285714292</v>
      </c>
      <c r="E10" s="676">
        <f ca="1">tertiair!D16</f>
        <v>9827.0202140331039</v>
      </c>
      <c r="F10" s="676">
        <f>tertiair!E16</f>
        <v>158.27355455118186</v>
      </c>
      <c r="G10" s="676">
        <f ca="1">tertiair!F16</f>
        <v>2545.821211330931</v>
      </c>
      <c r="H10" s="676">
        <f>tertiair!G16</f>
        <v>0</v>
      </c>
      <c r="I10" s="676">
        <f>tertiair!H16</f>
        <v>0</v>
      </c>
      <c r="J10" s="676">
        <f>tertiair!I16</f>
        <v>0</v>
      </c>
      <c r="K10" s="676">
        <f>tertiair!J16</f>
        <v>0</v>
      </c>
      <c r="L10" s="676">
        <f>tertiair!K16</f>
        <v>0</v>
      </c>
      <c r="M10" s="676">
        <f ca="1">tertiair!L16</f>
        <v>0</v>
      </c>
      <c r="N10" s="676">
        <f>tertiair!M16</f>
        <v>0</v>
      </c>
      <c r="O10" s="676">
        <f ca="1">tertiair!N16</f>
        <v>1062.1419560454074</v>
      </c>
      <c r="P10" s="676">
        <f>tertiair!O16</f>
        <v>0</v>
      </c>
      <c r="Q10" s="677">
        <f>tertiair!P16</f>
        <v>0</v>
      </c>
      <c r="R10" s="679">
        <f ca="1">SUM(C10:Q10)</f>
        <v>27416.68075434101</v>
      </c>
      <c r="S10" s="68"/>
    </row>
    <row r="11" spans="1:19" s="445" customFormat="1">
      <c r="A11" s="791" t="s">
        <v>220</v>
      </c>
      <c r="B11" s="796"/>
      <c r="C11" s="676">
        <f>huishoudens!B8</f>
        <v>31672.103438470676</v>
      </c>
      <c r="D11" s="676">
        <f>huishoudens!C8</f>
        <v>0</v>
      </c>
      <c r="E11" s="676">
        <f>huishoudens!D8</f>
        <v>40205.675135908365</v>
      </c>
      <c r="F11" s="676">
        <f>huishoudens!E8</f>
        <v>2046.4172530788883</v>
      </c>
      <c r="G11" s="676">
        <f>huishoudens!F8</f>
        <v>62389.320691633242</v>
      </c>
      <c r="H11" s="676">
        <f>huishoudens!G8</f>
        <v>0</v>
      </c>
      <c r="I11" s="676">
        <f>huishoudens!H8</f>
        <v>0</v>
      </c>
      <c r="J11" s="676">
        <f>huishoudens!I8</f>
        <v>0</v>
      </c>
      <c r="K11" s="676">
        <f>huishoudens!J8</f>
        <v>1132.032484650807</v>
      </c>
      <c r="L11" s="676">
        <f>huishoudens!K8</f>
        <v>0</v>
      </c>
      <c r="M11" s="676">
        <f>huishoudens!L8</f>
        <v>0</v>
      </c>
      <c r="N11" s="676">
        <f>huishoudens!M8</f>
        <v>0</v>
      </c>
      <c r="O11" s="676">
        <f>huishoudens!N8</f>
        <v>9614.878092962148</v>
      </c>
      <c r="P11" s="676">
        <f>huishoudens!O8</f>
        <v>153.20666666666668</v>
      </c>
      <c r="Q11" s="677">
        <f>huishoudens!P8</f>
        <v>667.33333333333337</v>
      </c>
      <c r="R11" s="679">
        <f>SUM(C11:Q11)</f>
        <v>147880.96709670415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48033.8540605378</v>
      </c>
      <c r="D13" s="676">
        <f>industrie!C18</f>
        <v>0</v>
      </c>
      <c r="E13" s="676">
        <f>industrie!D18</f>
        <v>36635.710095680093</v>
      </c>
      <c r="F13" s="676">
        <f>industrie!E18</f>
        <v>427.36052513693238</v>
      </c>
      <c r="G13" s="676">
        <f>industrie!F18</f>
        <v>10348.724189293624</v>
      </c>
      <c r="H13" s="676">
        <f>industrie!G18</f>
        <v>0</v>
      </c>
      <c r="I13" s="676">
        <f>industrie!H18</f>
        <v>0</v>
      </c>
      <c r="J13" s="676">
        <f>industrie!I18</f>
        <v>0</v>
      </c>
      <c r="K13" s="676">
        <f>industrie!J18</f>
        <v>233.51322970589422</v>
      </c>
      <c r="L13" s="676">
        <f>industrie!K18</f>
        <v>0</v>
      </c>
      <c r="M13" s="676">
        <f>industrie!L18</f>
        <v>0</v>
      </c>
      <c r="N13" s="676">
        <f>industrie!M18</f>
        <v>0</v>
      </c>
      <c r="O13" s="676">
        <f>industrie!N18</f>
        <v>1545.1593805265104</v>
      </c>
      <c r="P13" s="676">
        <f>industrie!O18</f>
        <v>0</v>
      </c>
      <c r="Q13" s="677">
        <f>industrie!P18</f>
        <v>0</v>
      </c>
      <c r="R13" s="679">
        <f>SUM(C13:Q13)</f>
        <v>97224.321480880855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93465.095603103138</v>
      </c>
      <c r="D16" s="709">
        <f t="shared" ref="D16:R16" ca="1" si="0">SUM(D9:D15)</f>
        <v>64.285714285714292</v>
      </c>
      <c r="E16" s="709">
        <f t="shared" ca="1" si="0"/>
        <v>86668.405445621553</v>
      </c>
      <c r="F16" s="709">
        <f t="shared" si="0"/>
        <v>2632.0513327670024</v>
      </c>
      <c r="G16" s="709">
        <f t="shared" ca="1" si="0"/>
        <v>75283.866092257798</v>
      </c>
      <c r="H16" s="709">
        <f t="shared" si="0"/>
        <v>0</v>
      </c>
      <c r="I16" s="709">
        <f t="shared" si="0"/>
        <v>0</v>
      </c>
      <c r="J16" s="709">
        <f t="shared" si="0"/>
        <v>0</v>
      </c>
      <c r="K16" s="709">
        <f t="shared" si="0"/>
        <v>1365.5457143567012</v>
      </c>
      <c r="L16" s="709">
        <f t="shared" si="0"/>
        <v>0</v>
      </c>
      <c r="M16" s="709">
        <f t="shared" ca="1" si="0"/>
        <v>0</v>
      </c>
      <c r="N16" s="709">
        <f t="shared" si="0"/>
        <v>0</v>
      </c>
      <c r="O16" s="709">
        <f t="shared" ca="1" si="0"/>
        <v>12222.179429534066</v>
      </c>
      <c r="P16" s="709">
        <f t="shared" si="0"/>
        <v>153.20666666666668</v>
      </c>
      <c r="Q16" s="709">
        <f t="shared" si="0"/>
        <v>667.33333333333337</v>
      </c>
      <c r="R16" s="709">
        <f t="shared" ca="1" si="0"/>
        <v>272521.96933192603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8.6516833095431043</v>
      </c>
      <c r="D19" s="676">
        <f>transport!C54</f>
        <v>0</v>
      </c>
      <c r="E19" s="676">
        <f>transport!D54</f>
        <v>0</v>
      </c>
      <c r="F19" s="676">
        <f>transport!E54</f>
        <v>0</v>
      </c>
      <c r="G19" s="676">
        <f>transport!F54</f>
        <v>0</v>
      </c>
      <c r="H19" s="676">
        <f>transport!G54</f>
        <v>1725.5952934473864</v>
      </c>
      <c r="I19" s="676">
        <f>transport!H54</f>
        <v>0</v>
      </c>
      <c r="J19" s="676">
        <f>transport!I54</f>
        <v>0</v>
      </c>
      <c r="K19" s="676">
        <f>transport!J54</f>
        <v>0</v>
      </c>
      <c r="L19" s="676">
        <f>transport!K54</f>
        <v>0</v>
      </c>
      <c r="M19" s="676">
        <f>transport!L54</f>
        <v>0</v>
      </c>
      <c r="N19" s="676">
        <f>transport!M54</f>
        <v>76.269474108221146</v>
      </c>
      <c r="O19" s="676">
        <f>transport!N54</f>
        <v>0</v>
      </c>
      <c r="P19" s="676">
        <f>transport!O54</f>
        <v>0</v>
      </c>
      <c r="Q19" s="677">
        <f>transport!P54</f>
        <v>0</v>
      </c>
      <c r="R19" s="679">
        <f>SUM(C19:Q19)</f>
        <v>1810.5164508651508</v>
      </c>
      <c r="S19" s="68"/>
    </row>
    <row r="20" spans="1:19" s="445" customFormat="1">
      <c r="A20" s="791" t="s">
        <v>302</v>
      </c>
      <c r="B20" s="796"/>
      <c r="C20" s="676">
        <f>transport!B14</f>
        <v>7.8413622541102734</v>
      </c>
      <c r="D20" s="676">
        <f>transport!C14</f>
        <v>0</v>
      </c>
      <c r="E20" s="676">
        <f>transport!D14</f>
        <v>9.3681919857308404</v>
      </c>
      <c r="F20" s="676">
        <f>transport!E14</f>
        <v>659.68034302931369</v>
      </c>
      <c r="G20" s="676">
        <f>transport!F14</f>
        <v>0</v>
      </c>
      <c r="H20" s="676">
        <f>transport!G14</f>
        <v>136669.77528847719</v>
      </c>
      <c r="I20" s="676">
        <f>transport!H14</f>
        <v>23156.124960857422</v>
      </c>
      <c r="J20" s="676">
        <f>transport!I14</f>
        <v>0</v>
      </c>
      <c r="K20" s="676">
        <f>transport!J14</f>
        <v>0</v>
      </c>
      <c r="L20" s="676">
        <f>transport!K14</f>
        <v>0</v>
      </c>
      <c r="M20" s="676">
        <f>transport!L14</f>
        <v>0</v>
      </c>
      <c r="N20" s="676">
        <f>transport!M14</f>
        <v>7141.8879639921197</v>
      </c>
      <c r="O20" s="676">
        <f>transport!N14</f>
        <v>0</v>
      </c>
      <c r="P20" s="676">
        <f>transport!O14</f>
        <v>0</v>
      </c>
      <c r="Q20" s="677">
        <f>transport!P14</f>
        <v>0</v>
      </c>
      <c r="R20" s="679">
        <f>SUM(C20:Q20)</f>
        <v>167644.67811059588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16.493045563653379</v>
      </c>
      <c r="D22" s="794">
        <f t="shared" ref="D22:R22" si="1">SUM(D18:D21)</f>
        <v>0</v>
      </c>
      <c r="E22" s="794">
        <f t="shared" si="1"/>
        <v>9.3681919857308404</v>
      </c>
      <c r="F22" s="794">
        <f t="shared" si="1"/>
        <v>659.68034302931369</v>
      </c>
      <c r="G22" s="794">
        <f t="shared" si="1"/>
        <v>0</v>
      </c>
      <c r="H22" s="794">
        <f t="shared" si="1"/>
        <v>138395.37058192457</v>
      </c>
      <c r="I22" s="794">
        <f t="shared" si="1"/>
        <v>23156.124960857422</v>
      </c>
      <c r="J22" s="794">
        <f t="shared" si="1"/>
        <v>0</v>
      </c>
      <c r="K22" s="794">
        <f t="shared" si="1"/>
        <v>0</v>
      </c>
      <c r="L22" s="794">
        <f t="shared" si="1"/>
        <v>0</v>
      </c>
      <c r="M22" s="794">
        <f t="shared" si="1"/>
        <v>0</v>
      </c>
      <c r="N22" s="794">
        <f t="shared" si="1"/>
        <v>7218.1574381003411</v>
      </c>
      <c r="O22" s="794">
        <f t="shared" si="1"/>
        <v>0</v>
      </c>
      <c r="P22" s="794">
        <f t="shared" si="1"/>
        <v>0</v>
      </c>
      <c r="Q22" s="794">
        <f t="shared" si="1"/>
        <v>0</v>
      </c>
      <c r="R22" s="794">
        <f t="shared" si="1"/>
        <v>169455.19456146104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723.37959114672788</v>
      </c>
      <c r="D24" s="676">
        <f>+landbouw!C8</f>
        <v>0</v>
      </c>
      <c r="E24" s="676">
        <f>+landbouw!D8</f>
        <v>57.173693614417594</v>
      </c>
      <c r="F24" s="676">
        <f>+landbouw!E8</f>
        <v>6.8147204288272576</v>
      </c>
      <c r="G24" s="676">
        <f>+landbouw!F8</f>
        <v>2360.6276745144669</v>
      </c>
      <c r="H24" s="676">
        <f>+landbouw!G8</f>
        <v>0</v>
      </c>
      <c r="I24" s="676">
        <f>+landbouw!H8</f>
        <v>0</v>
      </c>
      <c r="J24" s="676">
        <f>+landbouw!I8</f>
        <v>0</v>
      </c>
      <c r="K24" s="676">
        <f>+landbouw!J8</f>
        <v>89.48557394250571</v>
      </c>
      <c r="L24" s="676">
        <f>+landbouw!K8</f>
        <v>0</v>
      </c>
      <c r="M24" s="676">
        <f>+landbouw!L8</f>
        <v>0</v>
      </c>
      <c r="N24" s="676">
        <f>+landbouw!M8</f>
        <v>0</v>
      </c>
      <c r="O24" s="676">
        <f>+landbouw!N8</f>
        <v>0</v>
      </c>
      <c r="P24" s="676">
        <f>+landbouw!O8</f>
        <v>0</v>
      </c>
      <c r="Q24" s="677">
        <f>+landbouw!P8</f>
        <v>0</v>
      </c>
      <c r="R24" s="679">
        <f>SUM(C24:Q24)</f>
        <v>3237.4812536469453</v>
      </c>
      <c r="S24" s="68"/>
    </row>
    <row r="25" spans="1:19" s="445" customFormat="1" ht="15" thickBot="1">
      <c r="A25" s="813" t="s">
        <v>879</v>
      </c>
      <c r="B25" s="979"/>
      <c r="C25" s="980">
        <f>IF(Onbekend_ele_kWh="---",0,Onbekend_ele_kWh)/1000+IF(REST_rest_ele_kWh="---",0,REST_rest_ele_kWh)/1000</f>
        <v>1125.9952558625698</v>
      </c>
      <c r="D25" s="980"/>
      <c r="E25" s="980">
        <f>IF(onbekend_gas_kWh="---",0,onbekend_gas_kWh)/1000+IF(REST_rest_gas_kWh="---",0,REST_rest_gas_kWh)/1000</f>
        <v>1617.81242190445</v>
      </c>
      <c r="F25" s="980"/>
      <c r="G25" s="980"/>
      <c r="H25" s="980"/>
      <c r="I25" s="980"/>
      <c r="J25" s="980"/>
      <c r="K25" s="980"/>
      <c r="L25" s="980"/>
      <c r="M25" s="980"/>
      <c r="N25" s="980"/>
      <c r="O25" s="980"/>
      <c r="P25" s="980"/>
      <c r="Q25" s="981"/>
      <c r="R25" s="679">
        <f>SUM(C25:Q25)</f>
        <v>2743.8076777670199</v>
      </c>
      <c r="S25" s="68"/>
    </row>
    <row r="26" spans="1:19" s="445" customFormat="1" ht="15.75" thickBot="1">
      <c r="A26" s="682" t="s">
        <v>880</v>
      </c>
      <c r="B26" s="799"/>
      <c r="C26" s="794">
        <f>SUM(C24:C25)</f>
        <v>1849.3748470092978</v>
      </c>
      <c r="D26" s="794">
        <f t="shared" ref="D26:R26" si="2">SUM(D24:D25)</f>
        <v>0</v>
      </c>
      <c r="E26" s="794">
        <f t="shared" si="2"/>
        <v>1674.9861155188676</v>
      </c>
      <c r="F26" s="794">
        <f t="shared" si="2"/>
        <v>6.8147204288272576</v>
      </c>
      <c r="G26" s="794">
        <f t="shared" si="2"/>
        <v>2360.6276745144669</v>
      </c>
      <c r="H26" s="794">
        <f t="shared" si="2"/>
        <v>0</v>
      </c>
      <c r="I26" s="794">
        <f t="shared" si="2"/>
        <v>0</v>
      </c>
      <c r="J26" s="794">
        <f t="shared" si="2"/>
        <v>0</v>
      </c>
      <c r="K26" s="794">
        <f t="shared" si="2"/>
        <v>89.48557394250571</v>
      </c>
      <c r="L26" s="794">
        <f t="shared" si="2"/>
        <v>0</v>
      </c>
      <c r="M26" s="794">
        <f t="shared" si="2"/>
        <v>0</v>
      </c>
      <c r="N26" s="794">
        <f t="shared" si="2"/>
        <v>0</v>
      </c>
      <c r="O26" s="794">
        <f t="shared" si="2"/>
        <v>0</v>
      </c>
      <c r="P26" s="794">
        <f t="shared" si="2"/>
        <v>0</v>
      </c>
      <c r="Q26" s="794">
        <f t="shared" si="2"/>
        <v>0</v>
      </c>
      <c r="R26" s="794">
        <f t="shared" si="2"/>
        <v>5981.2889314139647</v>
      </c>
      <c r="S26" s="68"/>
    </row>
    <row r="27" spans="1:19" s="445" customFormat="1" ht="17.25" thickTop="1" thickBot="1">
      <c r="A27" s="683" t="s">
        <v>115</v>
      </c>
      <c r="B27" s="786"/>
      <c r="C27" s="684">
        <f ca="1">C22+C16+C26</f>
        <v>95330.963495676086</v>
      </c>
      <c r="D27" s="684">
        <f t="shared" ref="D27:R27" ca="1" si="3">D22+D16+D26</f>
        <v>64.285714285714292</v>
      </c>
      <c r="E27" s="684">
        <f t="shared" ca="1" si="3"/>
        <v>88352.759753126156</v>
      </c>
      <c r="F27" s="684">
        <f t="shared" si="3"/>
        <v>3298.5463962251433</v>
      </c>
      <c r="G27" s="684">
        <f t="shared" ca="1" si="3"/>
        <v>77644.49376677227</v>
      </c>
      <c r="H27" s="684">
        <f t="shared" si="3"/>
        <v>138395.37058192457</v>
      </c>
      <c r="I27" s="684">
        <f t="shared" si="3"/>
        <v>23156.124960857422</v>
      </c>
      <c r="J27" s="684">
        <f t="shared" si="3"/>
        <v>0</v>
      </c>
      <c r="K27" s="684">
        <f t="shared" si="3"/>
        <v>1455.0312882992068</v>
      </c>
      <c r="L27" s="684">
        <f t="shared" si="3"/>
        <v>0</v>
      </c>
      <c r="M27" s="684">
        <f t="shared" ca="1" si="3"/>
        <v>0</v>
      </c>
      <c r="N27" s="684">
        <f t="shared" si="3"/>
        <v>7218.1574381003411</v>
      </c>
      <c r="O27" s="684">
        <f t="shared" ca="1" si="3"/>
        <v>12222.179429534066</v>
      </c>
      <c r="P27" s="684">
        <f t="shared" si="3"/>
        <v>153.20666666666668</v>
      </c>
      <c r="Q27" s="684">
        <f t="shared" si="3"/>
        <v>667.33333333333337</v>
      </c>
      <c r="R27" s="684">
        <f t="shared" ca="1" si="3"/>
        <v>447958.45282480103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2919.4109503462487</v>
      </c>
      <c r="D40" s="676">
        <f ca="1">tertiair!C20</f>
        <v>15.277310924369752</v>
      </c>
      <c r="E40" s="676">
        <f ca="1">tertiair!D20</f>
        <v>1985.058083234687</v>
      </c>
      <c r="F40" s="676">
        <f>tertiair!E20</f>
        <v>35.928096883118286</v>
      </c>
      <c r="G40" s="676">
        <f ca="1">tertiair!F20</f>
        <v>679.73426342535856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5635.4087048137817</v>
      </c>
    </row>
    <row r="41" spans="1:18">
      <c r="A41" s="804" t="s">
        <v>220</v>
      </c>
      <c r="B41" s="811"/>
      <c r="C41" s="676">
        <f ca="1">huishoudens!B12</f>
        <v>6720.1800650037403</v>
      </c>
      <c r="D41" s="676">
        <f ca="1">huishoudens!C12</f>
        <v>0</v>
      </c>
      <c r="E41" s="676">
        <f>huishoudens!D12</f>
        <v>8121.5463774534901</v>
      </c>
      <c r="F41" s="676">
        <f>huishoudens!E12</f>
        <v>464.53671644890767</v>
      </c>
      <c r="G41" s="676">
        <f>huishoudens!F12</f>
        <v>16657.948624666078</v>
      </c>
      <c r="H41" s="676">
        <f>huishoudens!G12</f>
        <v>0</v>
      </c>
      <c r="I41" s="676">
        <f>huishoudens!H12</f>
        <v>0</v>
      </c>
      <c r="J41" s="676">
        <f>huishoudens!I12</f>
        <v>0</v>
      </c>
      <c r="K41" s="676">
        <f>huishoudens!J12</f>
        <v>400.73949956638563</v>
      </c>
      <c r="L41" s="676">
        <f>huishoudens!K12</f>
        <v>0</v>
      </c>
      <c r="M41" s="676">
        <f>huishoudens!L12</f>
        <v>0</v>
      </c>
      <c r="N41" s="676">
        <f>huishoudens!M12</f>
        <v>0</v>
      </c>
      <c r="O41" s="676">
        <f>huishoudens!N12</f>
        <v>0</v>
      </c>
      <c r="P41" s="676">
        <f>huishoudens!O12</f>
        <v>0</v>
      </c>
      <c r="Q41" s="751">
        <f>huishoudens!P12</f>
        <v>0</v>
      </c>
      <c r="R41" s="832">
        <f t="shared" ca="1" si="4"/>
        <v>32364.951283138602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10191.812777134313</v>
      </c>
      <c r="D43" s="676">
        <f ca="1">industrie!C22</f>
        <v>0</v>
      </c>
      <c r="E43" s="676">
        <f>industrie!D22</f>
        <v>7400.4134393273789</v>
      </c>
      <c r="F43" s="676">
        <f>industrie!E22</f>
        <v>97.010839206083659</v>
      </c>
      <c r="G43" s="676">
        <f>industrie!F22</f>
        <v>2763.1093585413978</v>
      </c>
      <c r="H43" s="676">
        <f>industrie!G22</f>
        <v>0</v>
      </c>
      <c r="I43" s="676">
        <f>industrie!H22</f>
        <v>0</v>
      </c>
      <c r="J43" s="676">
        <f>industrie!I22</f>
        <v>0</v>
      </c>
      <c r="K43" s="676">
        <f>industrie!J22</f>
        <v>82.663683315886544</v>
      </c>
      <c r="L43" s="676">
        <f>industrie!K22</f>
        <v>0</v>
      </c>
      <c r="M43" s="676">
        <f>industrie!L22</f>
        <v>0</v>
      </c>
      <c r="N43" s="676">
        <f>industrie!M22</f>
        <v>0</v>
      </c>
      <c r="O43" s="676">
        <f>industrie!N22</f>
        <v>0</v>
      </c>
      <c r="P43" s="676">
        <f>industrie!O22</f>
        <v>0</v>
      </c>
      <c r="Q43" s="751">
        <f>industrie!P22</f>
        <v>0</v>
      </c>
      <c r="R43" s="831">
        <f t="shared" ca="1" si="4"/>
        <v>20535.010097525061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19831.403792484303</v>
      </c>
      <c r="D46" s="709">
        <f t="shared" ref="D46:Q46" ca="1" si="5">SUM(D39:D45)</f>
        <v>15.277310924369752</v>
      </c>
      <c r="E46" s="709">
        <f t="shared" ca="1" si="5"/>
        <v>17507.017900015555</v>
      </c>
      <c r="F46" s="709">
        <f t="shared" si="5"/>
        <v>597.47565253810967</v>
      </c>
      <c r="G46" s="709">
        <f t="shared" ca="1" si="5"/>
        <v>20100.792246632835</v>
      </c>
      <c r="H46" s="709">
        <f t="shared" si="5"/>
        <v>0</v>
      </c>
      <c r="I46" s="709">
        <f t="shared" si="5"/>
        <v>0</v>
      </c>
      <c r="J46" s="709">
        <f t="shared" si="5"/>
        <v>0</v>
      </c>
      <c r="K46" s="709">
        <f t="shared" si="5"/>
        <v>483.40318288227218</v>
      </c>
      <c r="L46" s="709">
        <f t="shared" si="5"/>
        <v>0</v>
      </c>
      <c r="M46" s="709">
        <f t="shared" ca="1" si="5"/>
        <v>0</v>
      </c>
      <c r="N46" s="709">
        <f t="shared" si="5"/>
        <v>0</v>
      </c>
      <c r="O46" s="709">
        <f t="shared" ca="1" si="5"/>
        <v>0</v>
      </c>
      <c r="P46" s="709">
        <f t="shared" si="5"/>
        <v>0</v>
      </c>
      <c r="Q46" s="709">
        <f t="shared" si="5"/>
        <v>0</v>
      </c>
      <c r="R46" s="709">
        <f ca="1">SUM(R39:R45)</f>
        <v>58535.370085477443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1.835712295473753</v>
      </c>
      <c r="D49" s="676">
        <f ca="1">transport!C58</f>
        <v>0</v>
      </c>
      <c r="E49" s="676">
        <f>transport!D58</f>
        <v>0</v>
      </c>
      <c r="F49" s="676">
        <f>transport!E58</f>
        <v>0</v>
      </c>
      <c r="G49" s="676">
        <f>transport!F58</f>
        <v>0</v>
      </c>
      <c r="H49" s="676">
        <f>transport!G58</f>
        <v>460.73394335045219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462.56965564592593</v>
      </c>
    </row>
    <row r="50" spans="1:18">
      <c r="A50" s="807" t="s">
        <v>302</v>
      </c>
      <c r="B50" s="817"/>
      <c r="C50" s="986">
        <f ca="1">transport!B18</f>
        <v>1.6637785489970953</v>
      </c>
      <c r="D50" s="986">
        <f>transport!C18</f>
        <v>0</v>
      </c>
      <c r="E50" s="986">
        <f>transport!D18</f>
        <v>1.8923747811176299</v>
      </c>
      <c r="F50" s="986">
        <f>transport!E18</f>
        <v>149.74743786765421</v>
      </c>
      <c r="G50" s="986">
        <f>transport!F18</f>
        <v>0</v>
      </c>
      <c r="H50" s="986">
        <f>transport!G18</f>
        <v>36490.830002023409</v>
      </c>
      <c r="I50" s="986">
        <f>transport!H18</f>
        <v>5765.8751152534978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42410.008708474677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3.4994908444708486</v>
      </c>
      <c r="D52" s="709">
        <f t="shared" ref="D52:Q52" ca="1" si="6">SUM(D48:D51)</f>
        <v>0</v>
      </c>
      <c r="E52" s="709">
        <f t="shared" si="6"/>
        <v>1.8923747811176299</v>
      </c>
      <c r="F52" s="709">
        <f t="shared" si="6"/>
        <v>149.74743786765421</v>
      </c>
      <c r="G52" s="709">
        <f t="shared" si="6"/>
        <v>0</v>
      </c>
      <c r="H52" s="709">
        <f t="shared" si="6"/>
        <v>36951.563945373862</v>
      </c>
      <c r="I52" s="709">
        <f t="shared" si="6"/>
        <v>5765.8751152534978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42872.5783641206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153.48652536762262</v>
      </c>
      <c r="D54" s="986">
        <f ca="1">+landbouw!C12</f>
        <v>0</v>
      </c>
      <c r="E54" s="986">
        <f>+landbouw!D12</f>
        <v>11.549086110112356</v>
      </c>
      <c r="F54" s="986">
        <f>+landbouw!E12</f>
        <v>1.5469415373437876</v>
      </c>
      <c r="G54" s="986">
        <f>+landbouw!F12</f>
        <v>630.2875890953627</v>
      </c>
      <c r="H54" s="986">
        <f>+landbouw!G12</f>
        <v>0</v>
      </c>
      <c r="I54" s="986">
        <f>+landbouw!H12</f>
        <v>0</v>
      </c>
      <c r="J54" s="986">
        <f>+landbouw!I12</f>
        <v>0</v>
      </c>
      <c r="K54" s="986">
        <f>+landbouw!J12</f>
        <v>31.677893175647018</v>
      </c>
      <c r="L54" s="986">
        <f>+landbouw!K12</f>
        <v>0</v>
      </c>
      <c r="M54" s="986">
        <f>+landbouw!L12</f>
        <v>0</v>
      </c>
      <c r="N54" s="986">
        <f>+landbouw!M12</f>
        <v>0</v>
      </c>
      <c r="O54" s="986">
        <f>+landbouw!N12</f>
        <v>0</v>
      </c>
      <c r="P54" s="986">
        <f>+landbouw!O12</f>
        <v>0</v>
      </c>
      <c r="Q54" s="987">
        <f>+landbouw!P12</f>
        <v>0</v>
      </c>
      <c r="R54" s="708">
        <f ca="1">SUM(C54:Q54)</f>
        <v>828.54803528608852</v>
      </c>
    </row>
    <row r="55" spans="1:18" ht="15" thickBot="1">
      <c r="A55" s="807" t="s">
        <v>879</v>
      </c>
      <c r="B55" s="817"/>
      <c r="C55" s="986">
        <f ca="1">C25*'EF ele_warmte'!B12</f>
        <v>238.91343012429249</v>
      </c>
      <c r="D55" s="986"/>
      <c r="E55" s="986">
        <f>E25*EF_CO2_aardgas</f>
        <v>326.79810922469892</v>
      </c>
      <c r="F55" s="986"/>
      <c r="G55" s="986"/>
      <c r="H55" s="986"/>
      <c r="I55" s="986"/>
      <c r="J55" s="986"/>
      <c r="K55" s="986"/>
      <c r="L55" s="986"/>
      <c r="M55" s="986"/>
      <c r="N55" s="986"/>
      <c r="O55" s="986"/>
      <c r="P55" s="986"/>
      <c r="Q55" s="987"/>
      <c r="R55" s="708">
        <f ca="1">SUM(C55:Q55)</f>
        <v>565.71153934899144</v>
      </c>
    </row>
    <row r="56" spans="1:18" ht="15.75" thickBot="1">
      <c r="A56" s="805" t="s">
        <v>880</v>
      </c>
      <c r="B56" s="818"/>
      <c r="C56" s="709">
        <f ca="1">SUM(C54:C55)</f>
        <v>392.39995549191508</v>
      </c>
      <c r="D56" s="709">
        <f t="shared" ref="D56:Q56" ca="1" si="7">SUM(D54:D55)</f>
        <v>0</v>
      </c>
      <c r="E56" s="709">
        <f t="shared" si="7"/>
        <v>338.34719533481126</v>
      </c>
      <c r="F56" s="709">
        <f t="shared" si="7"/>
        <v>1.5469415373437876</v>
      </c>
      <c r="G56" s="709">
        <f t="shared" si="7"/>
        <v>630.2875890953627</v>
      </c>
      <c r="H56" s="709">
        <f t="shared" si="7"/>
        <v>0</v>
      </c>
      <c r="I56" s="709">
        <f t="shared" si="7"/>
        <v>0</v>
      </c>
      <c r="J56" s="709">
        <f t="shared" si="7"/>
        <v>0</v>
      </c>
      <c r="K56" s="709">
        <f t="shared" si="7"/>
        <v>31.677893175647018</v>
      </c>
      <c r="L56" s="709">
        <f t="shared" si="7"/>
        <v>0</v>
      </c>
      <c r="M56" s="709">
        <f t="shared" si="7"/>
        <v>0</v>
      </c>
      <c r="N56" s="709">
        <f t="shared" si="7"/>
        <v>0</v>
      </c>
      <c r="O56" s="709">
        <f t="shared" si="7"/>
        <v>0</v>
      </c>
      <c r="P56" s="709">
        <f t="shared" si="7"/>
        <v>0</v>
      </c>
      <c r="Q56" s="710">
        <f t="shared" si="7"/>
        <v>0</v>
      </c>
      <c r="R56" s="711">
        <f ca="1">SUM(R54:R55)</f>
        <v>1394.2595746350798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20227.303238820688</v>
      </c>
      <c r="D61" s="717">
        <f t="shared" ref="D61:Q61" ca="1" si="8">D46+D52+D56</f>
        <v>15.277310924369752</v>
      </c>
      <c r="E61" s="717">
        <f t="shared" ca="1" si="8"/>
        <v>17847.257470131484</v>
      </c>
      <c r="F61" s="717">
        <f t="shared" si="8"/>
        <v>748.7700319431076</v>
      </c>
      <c r="G61" s="717">
        <f t="shared" ca="1" si="8"/>
        <v>20731.079835728196</v>
      </c>
      <c r="H61" s="717">
        <f t="shared" si="8"/>
        <v>36951.563945373862</v>
      </c>
      <c r="I61" s="717">
        <f t="shared" si="8"/>
        <v>5765.8751152534978</v>
      </c>
      <c r="J61" s="717">
        <f t="shared" si="8"/>
        <v>0</v>
      </c>
      <c r="K61" s="717">
        <f t="shared" si="8"/>
        <v>515.08107605791918</v>
      </c>
      <c r="L61" s="717">
        <f t="shared" si="8"/>
        <v>0</v>
      </c>
      <c r="M61" s="717">
        <f t="shared" ca="1" si="8"/>
        <v>0</v>
      </c>
      <c r="N61" s="717">
        <f t="shared" si="8"/>
        <v>0</v>
      </c>
      <c r="O61" s="717">
        <f t="shared" ca="1" si="8"/>
        <v>0</v>
      </c>
      <c r="P61" s="717">
        <f t="shared" si="8"/>
        <v>0</v>
      </c>
      <c r="Q61" s="717">
        <f t="shared" si="8"/>
        <v>0</v>
      </c>
      <c r="R61" s="717">
        <f ca="1">R46+R52+R56</f>
        <v>102802.20802423313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0.21217978395590364</v>
      </c>
      <c r="D63" s="761">
        <f t="shared" ca="1" si="9"/>
        <v>0.23764705882352946</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265</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3498.0941690985828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45</v>
      </c>
      <c r="D76" s="998">
        <f>'lokale energieproductie'!C8</f>
        <v>52.941176470588239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10.694117647058825</v>
      </c>
      <c r="R76" s="834">
        <v>0</v>
      </c>
    </row>
    <row r="77" spans="1:18" ht="30.75" thickBot="1">
      <c r="A77" s="730" t="s">
        <v>346</v>
      </c>
      <c r="B77" s="727">
        <f>'lokale energieproductie'!B9*IFERROR(SUM(I77:O77)/SUM(D77:O77),0)</f>
        <v>45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112.5</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3808.0941690985828</v>
      </c>
      <c r="C78" s="732">
        <f>SUM(C72:C77)</f>
        <v>45</v>
      </c>
      <c r="D78" s="733">
        <f t="shared" ref="D78:H78" si="10">SUM(D76:D77)</f>
        <v>52.941176470588239</v>
      </c>
      <c r="E78" s="733">
        <f t="shared" si="10"/>
        <v>0</v>
      </c>
      <c r="F78" s="733">
        <f t="shared" si="10"/>
        <v>0</v>
      </c>
      <c r="G78" s="733">
        <f t="shared" si="10"/>
        <v>0</v>
      </c>
      <c r="H78" s="733">
        <f t="shared" si="10"/>
        <v>0</v>
      </c>
      <c r="I78" s="733">
        <f>SUM(I76:I77)</f>
        <v>0</v>
      </c>
      <c r="J78" s="733">
        <f>SUM(J76:J77)</f>
        <v>112.5</v>
      </c>
      <c r="K78" s="733">
        <f t="shared" ref="K78:L78" si="11">SUM(K76:K77)</f>
        <v>0</v>
      </c>
      <c r="L78" s="733">
        <f t="shared" si="11"/>
        <v>0</v>
      </c>
      <c r="M78" s="733">
        <f>SUM(M76:M77)</f>
        <v>0</v>
      </c>
      <c r="N78" s="733">
        <f>SUM(N76:N77)</f>
        <v>0</v>
      </c>
      <c r="O78" s="842">
        <f>SUM(O76:O77)</f>
        <v>0</v>
      </c>
      <c r="P78" s="734">
        <v>0</v>
      </c>
      <c r="Q78" s="734">
        <f>SUM(Q76:Q77)</f>
        <v>10.694117647058825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64.285714285714292</v>
      </c>
      <c r="D87" s="754">
        <f>'lokale energieproductie'!C17</f>
        <v>75.630252100840352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15.277310924369752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64.285714285714292</v>
      </c>
      <c r="D90" s="732">
        <f t="shared" ref="D90:H90" si="12">SUM(D87:D89)</f>
        <v>75.630252100840352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15.277310924369752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31672.103438470676</v>
      </c>
      <c r="C4" s="449">
        <f>huishoudens!C8</f>
        <v>0</v>
      </c>
      <c r="D4" s="449">
        <f>huishoudens!D8</f>
        <v>40205.675135908365</v>
      </c>
      <c r="E4" s="449">
        <f>huishoudens!E8</f>
        <v>2046.4172530788883</v>
      </c>
      <c r="F4" s="449">
        <f>huishoudens!F8</f>
        <v>62389.320691633242</v>
      </c>
      <c r="G4" s="449">
        <f>huishoudens!G8</f>
        <v>0</v>
      </c>
      <c r="H4" s="449">
        <f>huishoudens!H8</f>
        <v>0</v>
      </c>
      <c r="I4" s="449">
        <f>huishoudens!I8</f>
        <v>0</v>
      </c>
      <c r="J4" s="449">
        <f>huishoudens!J8</f>
        <v>1132.032484650807</v>
      </c>
      <c r="K4" s="449">
        <f>huishoudens!K8</f>
        <v>0</v>
      </c>
      <c r="L4" s="449">
        <f>huishoudens!L8</f>
        <v>0</v>
      </c>
      <c r="M4" s="449">
        <f>huishoudens!M8</f>
        <v>0</v>
      </c>
      <c r="N4" s="449">
        <f>huishoudens!N8</f>
        <v>9614.878092962148</v>
      </c>
      <c r="O4" s="449">
        <f>huishoudens!O8</f>
        <v>153.20666666666668</v>
      </c>
      <c r="P4" s="450">
        <f>huishoudens!P8</f>
        <v>667.33333333333337</v>
      </c>
      <c r="Q4" s="451">
        <f>SUM(B4:P4)</f>
        <v>147880.96709670415</v>
      </c>
    </row>
    <row r="5" spans="1:17">
      <c r="A5" s="448" t="s">
        <v>155</v>
      </c>
      <c r="B5" s="449">
        <f ca="1">tertiair!B16</f>
        <v>12923.763104094671</v>
      </c>
      <c r="C5" s="449">
        <f ca="1">tertiair!C16</f>
        <v>64.285714285714292</v>
      </c>
      <c r="D5" s="449">
        <f ca="1">tertiair!D16</f>
        <v>9827.0202140331039</v>
      </c>
      <c r="E5" s="449">
        <f>tertiair!E16</f>
        <v>158.27355455118186</v>
      </c>
      <c r="F5" s="449">
        <f ca="1">tertiair!F16</f>
        <v>2545.821211330931</v>
      </c>
      <c r="G5" s="449">
        <f>tertiair!G16</f>
        <v>0</v>
      </c>
      <c r="H5" s="449">
        <f>tertiair!H16</f>
        <v>0</v>
      </c>
      <c r="I5" s="449">
        <f>tertiair!I16</f>
        <v>0</v>
      </c>
      <c r="J5" s="449">
        <f>tertiair!J16</f>
        <v>0</v>
      </c>
      <c r="K5" s="449">
        <f>tertiair!K16</f>
        <v>0</v>
      </c>
      <c r="L5" s="449">
        <f ca="1">tertiair!L16</f>
        <v>0</v>
      </c>
      <c r="M5" s="449">
        <f>tertiair!M16</f>
        <v>0</v>
      </c>
      <c r="N5" s="449">
        <f ca="1">tertiair!N16</f>
        <v>1062.1419560454074</v>
      </c>
      <c r="O5" s="449">
        <f>tertiair!O16</f>
        <v>0</v>
      </c>
      <c r="P5" s="450">
        <f>tertiair!P16</f>
        <v>0</v>
      </c>
      <c r="Q5" s="448">
        <f t="shared" ref="Q5:Q14" ca="1" si="0">SUM(B5:P5)</f>
        <v>26581.30575434101</v>
      </c>
    </row>
    <row r="6" spans="1:17">
      <c r="A6" s="448" t="s">
        <v>193</v>
      </c>
      <c r="B6" s="449">
        <f>'openbare verlichting'!B8</f>
        <v>835.375</v>
      </c>
      <c r="C6" s="449"/>
      <c r="D6" s="449"/>
      <c r="E6" s="449"/>
      <c r="F6" s="449"/>
      <c r="G6" s="449"/>
      <c r="H6" s="449"/>
      <c r="I6" s="449"/>
      <c r="J6" s="449"/>
      <c r="K6" s="449"/>
      <c r="L6" s="449"/>
      <c r="M6" s="449"/>
      <c r="N6" s="449"/>
      <c r="O6" s="449"/>
      <c r="P6" s="450"/>
      <c r="Q6" s="448">
        <f t="shared" si="0"/>
        <v>835.375</v>
      </c>
    </row>
    <row r="7" spans="1:17">
      <c r="A7" s="448" t="s">
        <v>111</v>
      </c>
      <c r="B7" s="449">
        <f>landbouw!B8</f>
        <v>723.37959114672788</v>
      </c>
      <c r="C7" s="449">
        <f>landbouw!C8</f>
        <v>0</v>
      </c>
      <c r="D7" s="449">
        <f>landbouw!D8</f>
        <v>57.173693614417594</v>
      </c>
      <c r="E7" s="449">
        <f>landbouw!E8</f>
        <v>6.8147204288272576</v>
      </c>
      <c r="F7" s="449">
        <f>landbouw!F8</f>
        <v>2360.6276745144669</v>
      </c>
      <c r="G7" s="449">
        <f>landbouw!G8</f>
        <v>0</v>
      </c>
      <c r="H7" s="449">
        <f>landbouw!H8</f>
        <v>0</v>
      </c>
      <c r="I7" s="449">
        <f>landbouw!I8</f>
        <v>0</v>
      </c>
      <c r="J7" s="449">
        <f>landbouw!J8</f>
        <v>89.48557394250571</v>
      </c>
      <c r="K7" s="449">
        <f>landbouw!K8</f>
        <v>0</v>
      </c>
      <c r="L7" s="449">
        <f>landbouw!L8</f>
        <v>0</v>
      </c>
      <c r="M7" s="449">
        <f>landbouw!M8</f>
        <v>0</v>
      </c>
      <c r="N7" s="449">
        <f>landbouw!N8</f>
        <v>0</v>
      </c>
      <c r="O7" s="449">
        <f>landbouw!O8</f>
        <v>0</v>
      </c>
      <c r="P7" s="450">
        <f>landbouw!P8</f>
        <v>0</v>
      </c>
      <c r="Q7" s="448">
        <f t="shared" si="0"/>
        <v>3237.4812536469453</v>
      </c>
    </row>
    <row r="8" spans="1:17">
      <c r="A8" s="448" t="s">
        <v>671</v>
      </c>
      <c r="B8" s="449">
        <f>industrie!B18</f>
        <v>48033.8540605378</v>
      </c>
      <c r="C8" s="449">
        <f>industrie!C18</f>
        <v>0</v>
      </c>
      <c r="D8" s="449">
        <f>industrie!D18</f>
        <v>36635.710095680093</v>
      </c>
      <c r="E8" s="449">
        <f>industrie!E18</f>
        <v>427.36052513693238</v>
      </c>
      <c r="F8" s="449">
        <f>industrie!F18</f>
        <v>10348.724189293624</v>
      </c>
      <c r="G8" s="449">
        <f>industrie!G18</f>
        <v>0</v>
      </c>
      <c r="H8" s="449">
        <f>industrie!H18</f>
        <v>0</v>
      </c>
      <c r="I8" s="449">
        <f>industrie!I18</f>
        <v>0</v>
      </c>
      <c r="J8" s="449">
        <f>industrie!J18</f>
        <v>233.51322970589422</v>
      </c>
      <c r="K8" s="449">
        <f>industrie!K18</f>
        <v>0</v>
      </c>
      <c r="L8" s="449">
        <f>industrie!L18</f>
        <v>0</v>
      </c>
      <c r="M8" s="449">
        <f>industrie!M18</f>
        <v>0</v>
      </c>
      <c r="N8" s="449">
        <f>industrie!N18</f>
        <v>1545.1593805265104</v>
      </c>
      <c r="O8" s="449">
        <f>industrie!O18</f>
        <v>0</v>
      </c>
      <c r="P8" s="450">
        <f>industrie!P18</f>
        <v>0</v>
      </c>
      <c r="Q8" s="448">
        <f t="shared" si="0"/>
        <v>97224.321480880855</v>
      </c>
    </row>
    <row r="9" spans="1:17" s="454" customFormat="1">
      <c r="A9" s="452" t="s">
        <v>568</v>
      </c>
      <c r="B9" s="453">
        <f>transport!B14</f>
        <v>7.8413622541102734</v>
      </c>
      <c r="C9" s="453">
        <f>transport!C14</f>
        <v>0</v>
      </c>
      <c r="D9" s="453">
        <f>transport!D14</f>
        <v>9.3681919857308404</v>
      </c>
      <c r="E9" s="453">
        <f>transport!E14</f>
        <v>659.68034302931369</v>
      </c>
      <c r="F9" s="453">
        <f>transport!F14</f>
        <v>0</v>
      </c>
      <c r="G9" s="453">
        <f>transport!G14</f>
        <v>136669.77528847719</v>
      </c>
      <c r="H9" s="453">
        <f>transport!H14</f>
        <v>23156.124960857422</v>
      </c>
      <c r="I9" s="453">
        <f>transport!I14</f>
        <v>0</v>
      </c>
      <c r="J9" s="453">
        <f>transport!J14</f>
        <v>0</v>
      </c>
      <c r="K9" s="453">
        <f>transport!K14</f>
        <v>0</v>
      </c>
      <c r="L9" s="453">
        <f>transport!L14</f>
        <v>0</v>
      </c>
      <c r="M9" s="453">
        <f>transport!M14</f>
        <v>7141.8879639921197</v>
      </c>
      <c r="N9" s="453">
        <f>transport!N14</f>
        <v>0</v>
      </c>
      <c r="O9" s="453">
        <f>transport!O14</f>
        <v>0</v>
      </c>
      <c r="P9" s="453">
        <f>transport!P14</f>
        <v>0</v>
      </c>
      <c r="Q9" s="452">
        <f>SUM(B9:P9)</f>
        <v>167644.67811059588</v>
      </c>
    </row>
    <row r="10" spans="1:17">
      <c r="A10" s="448" t="s">
        <v>558</v>
      </c>
      <c r="B10" s="449">
        <f>transport!B54</f>
        <v>8.6516833095431043</v>
      </c>
      <c r="C10" s="449">
        <f>transport!C54</f>
        <v>0</v>
      </c>
      <c r="D10" s="449">
        <f>transport!D54</f>
        <v>0</v>
      </c>
      <c r="E10" s="449">
        <f>transport!E54</f>
        <v>0</v>
      </c>
      <c r="F10" s="449">
        <f>transport!F54</f>
        <v>0</v>
      </c>
      <c r="G10" s="449">
        <f>transport!G54</f>
        <v>1725.5952934473864</v>
      </c>
      <c r="H10" s="449">
        <f>transport!H54</f>
        <v>0</v>
      </c>
      <c r="I10" s="449">
        <f>transport!I54</f>
        <v>0</v>
      </c>
      <c r="J10" s="449">
        <f>transport!J54</f>
        <v>0</v>
      </c>
      <c r="K10" s="449">
        <f>transport!K54</f>
        <v>0</v>
      </c>
      <c r="L10" s="449">
        <f>transport!L54</f>
        <v>0</v>
      </c>
      <c r="M10" s="449">
        <f>transport!M54</f>
        <v>76.269474108221146</v>
      </c>
      <c r="N10" s="449">
        <f>transport!N54</f>
        <v>0</v>
      </c>
      <c r="O10" s="449">
        <f>transport!O54</f>
        <v>0</v>
      </c>
      <c r="P10" s="450">
        <f>transport!P54</f>
        <v>0</v>
      </c>
      <c r="Q10" s="448">
        <f t="shared" si="0"/>
        <v>1810.5164508651508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1125.9952558625698</v>
      </c>
      <c r="C14" s="456"/>
      <c r="D14" s="456">
        <f>'SEAP template'!E25</f>
        <v>1617.81242190445</v>
      </c>
      <c r="E14" s="456"/>
      <c r="F14" s="456"/>
      <c r="G14" s="456"/>
      <c r="H14" s="456"/>
      <c r="I14" s="456"/>
      <c r="J14" s="456"/>
      <c r="K14" s="456"/>
      <c r="L14" s="456"/>
      <c r="M14" s="456"/>
      <c r="N14" s="456"/>
      <c r="O14" s="456"/>
      <c r="P14" s="457"/>
      <c r="Q14" s="448">
        <f t="shared" si="0"/>
        <v>2743.8076777670199</v>
      </c>
    </row>
    <row r="15" spans="1:17" s="461" customFormat="1">
      <c r="A15" s="458" t="s">
        <v>562</v>
      </c>
      <c r="B15" s="459">
        <f ca="1">SUM(B4:B14)</f>
        <v>95330.9634956761</v>
      </c>
      <c r="C15" s="459">
        <f t="shared" ref="C15:Q15" ca="1" si="1">SUM(C4:C14)</f>
        <v>64.285714285714292</v>
      </c>
      <c r="D15" s="459">
        <f t="shared" ca="1" si="1"/>
        <v>88352.759753126171</v>
      </c>
      <c r="E15" s="459">
        <f t="shared" si="1"/>
        <v>3298.5463962251433</v>
      </c>
      <c r="F15" s="459">
        <f t="shared" ca="1" si="1"/>
        <v>77644.49376677227</v>
      </c>
      <c r="G15" s="459">
        <f t="shared" si="1"/>
        <v>138395.37058192457</v>
      </c>
      <c r="H15" s="459">
        <f t="shared" si="1"/>
        <v>23156.124960857422</v>
      </c>
      <c r="I15" s="459">
        <f t="shared" si="1"/>
        <v>0</v>
      </c>
      <c r="J15" s="459">
        <f t="shared" si="1"/>
        <v>1455.0312882992068</v>
      </c>
      <c r="K15" s="459">
        <f t="shared" si="1"/>
        <v>0</v>
      </c>
      <c r="L15" s="459">
        <f t="shared" ca="1" si="1"/>
        <v>0</v>
      </c>
      <c r="M15" s="459">
        <f t="shared" si="1"/>
        <v>7218.1574381003411</v>
      </c>
      <c r="N15" s="459">
        <f t="shared" ca="1" si="1"/>
        <v>12222.179429534066</v>
      </c>
      <c r="O15" s="459">
        <f t="shared" si="1"/>
        <v>153.20666666666668</v>
      </c>
      <c r="P15" s="459">
        <f t="shared" si="1"/>
        <v>667.33333333333337</v>
      </c>
      <c r="Q15" s="459">
        <f t="shared" ca="1" si="1"/>
        <v>447958.45282480103</v>
      </c>
    </row>
    <row r="17" spans="1:17">
      <c r="A17" s="462" t="s">
        <v>563</v>
      </c>
      <c r="B17" s="766">
        <f ca="1">huishoudens!B10</f>
        <v>0.21217978395590362</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6720.1800650037403</v>
      </c>
      <c r="C22" s="449">
        <f t="shared" ref="C22:C32" ca="1" si="3">C4*$C$17</f>
        <v>0</v>
      </c>
      <c r="D22" s="449">
        <f t="shared" ref="D22:D32" si="4">D4*$D$17</f>
        <v>8121.5463774534901</v>
      </c>
      <c r="E22" s="449">
        <f t="shared" ref="E22:E32" si="5">E4*$E$17</f>
        <v>464.53671644890767</v>
      </c>
      <c r="F22" s="449">
        <f t="shared" ref="F22:F32" si="6">F4*$F$17</f>
        <v>16657.948624666078</v>
      </c>
      <c r="G22" s="449">
        <f t="shared" ref="G22:G32" si="7">G4*$G$17</f>
        <v>0</v>
      </c>
      <c r="H22" s="449">
        <f t="shared" ref="H22:H32" si="8">H4*$H$17</f>
        <v>0</v>
      </c>
      <c r="I22" s="449">
        <f t="shared" ref="I22:I32" si="9">I4*$I$17</f>
        <v>0</v>
      </c>
      <c r="J22" s="449">
        <f t="shared" ref="J22:J32" si="10">J4*$J$17</f>
        <v>400.73949956638563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32364.951283138602</v>
      </c>
    </row>
    <row r="23" spans="1:17">
      <c r="A23" s="448" t="s">
        <v>155</v>
      </c>
      <c r="B23" s="449">
        <f t="shared" ca="1" si="2"/>
        <v>2742.1612633240857</v>
      </c>
      <c r="C23" s="449">
        <f t="shared" ca="1" si="3"/>
        <v>15.277310924369752</v>
      </c>
      <c r="D23" s="449">
        <f t="shared" ca="1" si="4"/>
        <v>1985.058083234687</v>
      </c>
      <c r="E23" s="449">
        <f t="shared" si="5"/>
        <v>35.928096883118286</v>
      </c>
      <c r="F23" s="449">
        <f t="shared" ca="1" si="6"/>
        <v>679.73426342535856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5458.1590177916187</v>
      </c>
    </row>
    <row r="24" spans="1:17">
      <c r="A24" s="448" t="s">
        <v>193</v>
      </c>
      <c r="B24" s="449">
        <f t="shared" ca="1" si="2"/>
        <v>177.24968702216299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177.24968702216299</v>
      </c>
    </row>
    <row r="25" spans="1:17">
      <c r="A25" s="448" t="s">
        <v>111</v>
      </c>
      <c r="B25" s="449">
        <f t="shared" ca="1" si="2"/>
        <v>153.48652536762262</v>
      </c>
      <c r="C25" s="449">
        <f t="shared" ca="1" si="3"/>
        <v>0</v>
      </c>
      <c r="D25" s="449">
        <f t="shared" si="4"/>
        <v>11.549086110112356</v>
      </c>
      <c r="E25" s="449">
        <f t="shared" si="5"/>
        <v>1.5469415373437876</v>
      </c>
      <c r="F25" s="449">
        <f t="shared" si="6"/>
        <v>630.2875890953627</v>
      </c>
      <c r="G25" s="449">
        <f t="shared" si="7"/>
        <v>0</v>
      </c>
      <c r="H25" s="449">
        <f t="shared" si="8"/>
        <v>0</v>
      </c>
      <c r="I25" s="449">
        <f t="shared" si="9"/>
        <v>0</v>
      </c>
      <c r="J25" s="449">
        <f t="shared" si="10"/>
        <v>31.677893175647018</v>
      </c>
      <c r="K25" s="449">
        <f t="shared" si="11"/>
        <v>0</v>
      </c>
      <c r="L25" s="449">
        <f t="shared" si="12"/>
        <v>0</v>
      </c>
      <c r="M25" s="449">
        <f t="shared" si="13"/>
        <v>0</v>
      </c>
      <c r="N25" s="449">
        <f t="shared" si="14"/>
        <v>0</v>
      </c>
      <c r="O25" s="449">
        <f t="shared" si="15"/>
        <v>0</v>
      </c>
      <c r="P25" s="450">
        <f t="shared" si="16"/>
        <v>0</v>
      </c>
      <c r="Q25" s="448">
        <f t="shared" ca="1" si="17"/>
        <v>828.54803528608852</v>
      </c>
    </row>
    <row r="26" spans="1:17">
      <c r="A26" s="448" t="s">
        <v>671</v>
      </c>
      <c r="B26" s="449">
        <f t="shared" ca="1" si="2"/>
        <v>10191.812777134313</v>
      </c>
      <c r="C26" s="449">
        <f t="shared" ca="1" si="3"/>
        <v>0</v>
      </c>
      <c r="D26" s="449">
        <f t="shared" si="4"/>
        <v>7400.4134393273789</v>
      </c>
      <c r="E26" s="449">
        <f t="shared" si="5"/>
        <v>97.010839206083659</v>
      </c>
      <c r="F26" s="449">
        <f t="shared" si="6"/>
        <v>2763.1093585413978</v>
      </c>
      <c r="G26" s="449">
        <f t="shared" si="7"/>
        <v>0</v>
      </c>
      <c r="H26" s="449">
        <f t="shared" si="8"/>
        <v>0</v>
      </c>
      <c r="I26" s="449">
        <f t="shared" si="9"/>
        <v>0</v>
      </c>
      <c r="J26" s="449">
        <f t="shared" si="10"/>
        <v>82.663683315886544</v>
      </c>
      <c r="K26" s="449">
        <f t="shared" si="11"/>
        <v>0</v>
      </c>
      <c r="L26" s="449">
        <f t="shared" si="12"/>
        <v>0</v>
      </c>
      <c r="M26" s="449">
        <f t="shared" si="13"/>
        <v>0</v>
      </c>
      <c r="N26" s="449">
        <f t="shared" si="14"/>
        <v>0</v>
      </c>
      <c r="O26" s="449">
        <f t="shared" si="15"/>
        <v>0</v>
      </c>
      <c r="P26" s="450">
        <f t="shared" si="16"/>
        <v>0</v>
      </c>
      <c r="Q26" s="448">
        <f t="shared" ca="1" si="17"/>
        <v>20535.010097525061</v>
      </c>
    </row>
    <row r="27" spans="1:17" s="454" customFormat="1">
      <c r="A27" s="452" t="s">
        <v>568</v>
      </c>
      <c r="B27" s="760">
        <f t="shared" ca="1" si="2"/>
        <v>1.6637785489970953</v>
      </c>
      <c r="C27" s="453">
        <f t="shared" ca="1" si="3"/>
        <v>0</v>
      </c>
      <c r="D27" s="453">
        <f t="shared" si="4"/>
        <v>1.8923747811176299</v>
      </c>
      <c r="E27" s="453">
        <f t="shared" si="5"/>
        <v>149.74743786765421</v>
      </c>
      <c r="F27" s="453">
        <f t="shared" si="6"/>
        <v>0</v>
      </c>
      <c r="G27" s="453">
        <f t="shared" si="7"/>
        <v>36490.830002023409</v>
      </c>
      <c r="H27" s="453">
        <f t="shared" si="8"/>
        <v>5765.8751152534978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42410.008708474677</v>
      </c>
    </row>
    <row r="28" spans="1:17">
      <c r="A28" s="448" t="s">
        <v>558</v>
      </c>
      <c r="B28" s="449">
        <f t="shared" ca="1" si="2"/>
        <v>1.835712295473753</v>
      </c>
      <c r="C28" s="449">
        <f t="shared" ca="1" si="3"/>
        <v>0</v>
      </c>
      <c r="D28" s="449">
        <f t="shared" si="4"/>
        <v>0</v>
      </c>
      <c r="E28" s="449">
        <f t="shared" si="5"/>
        <v>0</v>
      </c>
      <c r="F28" s="449">
        <f t="shared" si="6"/>
        <v>0</v>
      </c>
      <c r="G28" s="449">
        <f t="shared" si="7"/>
        <v>460.73394335045219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462.56965564592593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238.91343012429249</v>
      </c>
      <c r="C32" s="449">
        <f t="shared" ca="1" si="3"/>
        <v>0</v>
      </c>
      <c r="D32" s="449">
        <f t="shared" si="4"/>
        <v>326.79810922469892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565.71153934899144</v>
      </c>
    </row>
    <row r="33" spans="1:17" s="461" customFormat="1">
      <c r="A33" s="458" t="s">
        <v>562</v>
      </c>
      <c r="B33" s="459">
        <f ca="1">SUM(B22:B32)</f>
        <v>20227.303238820688</v>
      </c>
      <c r="C33" s="459">
        <f t="shared" ref="C33:Q33" ca="1" si="18">SUM(C22:C32)</f>
        <v>15.277310924369752</v>
      </c>
      <c r="D33" s="459">
        <f t="shared" ca="1" si="18"/>
        <v>17847.257470131484</v>
      </c>
      <c r="E33" s="459">
        <f t="shared" si="18"/>
        <v>748.7700319431076</v>
      </c>
      <c r="F33" s="459">
        <f t="shared" ca="1" si="18"/>
        <v>20731.079835728196</v>
      </c>
      <c r="G33" s="459">
        <f t="shared" si="18"/>
        <v>36951.563945373862</v>
      </c>
      <c r="H33" s="459">
        <f t="shared" si="18"/>
        <v>5765.8751152534978</v>
      </c>
      <c r="I33" s="459">
        <f t="shared" si="18"/>
        <v>0</v>
      </c>
      <c r="J33" s="459">
        <f t="shared" si="18"/>
        <v>515.08107605791918</v>
      </c>
      <c r="K33" s="459">
        <f t="shared" si="18"/>
        <v>0</v>
      </c>
      <c r="L33" s="459">
        <f t="shared" ca="1" si="18"/>
        <v>0</v>
      </c>
      <c r="M33" s="459">
        <f t="shared" si="18"/>
        <v>0</v>
      </c>
      <c r="N33" s="459">
        <f t="shared" ca="1" si="18"/>
        <v>0</v>
      </c>
      <c r="O33" s="459">
        <f t="shared" si="18"/>
        <v>0</v>
      </c>
      <c r="P33" s="459">
        <f t="shared" si="18"/>
        <v>0</v>
      </c>
      <c r="Q33" s="459">
        <f t="shared" ca="1" si="18"/>
        <v>102802.20802423314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265</v>
      </c>
      <c r="C5" s="1015"/>
      <c r="D5" s="1015"/>
      <c r="E5" s="1015"/>
      <c r="F5" s="1015"/>
      <c r="G5" s="1015"/>
      <c r="H5" s="1015"/>
      <c r="I5" s="1015"/>
      <c r="J5" s="1015"/>
      <c r="K5" s="1015"/>
      <c r="L5" s="1015"/>
      <c r="M5" s="1015"/>
      <c r="N5" s="1015"/>
      <c r="O5" s="1015"/>
      <c r="P5" s="1016">
        <f>'SEAP template'!Q73</f>
        <v>0</v>
      </c>
    </row>
    <row r="6" spans="1:16">
      <c r="A6" s="1017" t="s">
        <v>246</v>
      </c>
      <c r="B6" s="1015">
        <f>'SEAP template'!B74</f>
        <v>3498.0941690985828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45</v>
      </c>
      <c r="D8" s="1015">
        <f>'SEAP template'!D76</f>
        <v>52.941176470588239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10.694117647058825</v>
      </c>
    </row>
    <row r="9" spans="1:16">
      <c r="A9" s="1018" t="s">
        <v>891</v>
      </c>
      <c r="B9" s="1015">
        <f>'SEAP template'!B77</f>
        <v>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112.5</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3808.0941690985828</v>
      </c>
      <c r="C10" s="1019">
        <f>SUM(C4:C9)</f>
        <v>45</v>
      </c>
      <c r="D10" s="1019">
        <f t="shared" ref="D10:H10" si="0">SUM(D8:D9)</f>
        <v>52.941176470588239</v>
      </c>
      <c r="E10" s="1019">
        <f t="shared" si="0"/>
        <v>0</v>
      </c>
      <c r="F10" s="1019">
        <f t="shared" si="0"/>
        <v>0</v>
      </c>
      <c r="G10" s="1019">
        <f t="shared" si="0"/>
        <v>0</v>
      </c>
      <c r="H10" s="1019">
        <f t="shared" si="0"/>
        <v>0</v>
      </c>
      <c r="I10" s="1019">
        <f>SUM(I8:I9)</f>
        <v>0</v>
      </c>
      <c r="J10" s="1019">
        <f>SUM(J8:J9)</f>
        <v>112.5</v>
      </c>
      <c r="K10" s="1019">
        <f t="shared" ref="K10:L10" si="1">SUM(K8:K9)</f>
        <v>0</v>
      </c>
      <c r="L10" s="1019">
        <f t="shared" si="1"/>
        <v>0</v>
      </c>
      <c r="M10" s="1019">
        <f>SUM(M8:M9)</f>
        <v>0</v>
      </c>
      <c r="N10" s="1019">
        <f>SUM(N8:N9)</f>
        <v>0</v>
      </c>
      <c r="O10" s="1019">
        <f>SUM(O8:O9)</f>
        <v>0</v>
      </c>
      <c r="P10" s="1019">
        <f>SUM(P8:P9)</f>
        <v>10.694117647058825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0.21217978395590362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64.285714285714292</v>
      </c>
      <c r="D17" s="1016">
        <f>'SEAP template'!D87</f>
        <v>75.630252100840352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15.277310924369752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64.285714285714292</v>
      </c>
      <c r="D20" s="1019">
        <f t="shared" ref="D20:H20" si="2">SUM(D17:D19)</f>
        <v>75.630252100840352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15.277310924369752</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0.21217978395590362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0.21217978395590362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0.21217978395590362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6278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913</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29</v>
      </c>
      <c r="C17" s="327"/>
      <c r="D17" s="327"/>
      <c r="E17" s="327"/>
      <c r="F17" s="327"/>
    </row>
    <row r="18" spans="1:6">
      <c r="A18" s="1295" t="s">
        <v>8</v>
      </c>
      <c r="B18" s="1296">
        <v>66</v>
      </c>
      <c r="C18" s="327"/>
      <c r="D18" s="327"/>
      <c r="E18" s="327"/>
      <c r="F18" s="327"/>
    </row>
    <row r="19" spans="1:6">
      <c r="A19" s="1295" t="s">
        <v>9</v>
      </c>
      <c r="B19" s="1296">
        <v>39</v>
      </c>
      <c r="C19" s="327"/>
      <c r="D19" s="327"/>
      <c r="E19" s="327"/>
      <c r="F19" s="327"/>
    </row>
    <row r="20" spans="1:6">
      <c r="A20" s="1295" t="s">
        <v>10</v>
      </c>
      <c r="B20" s="1296">
        <v>53</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187</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19</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4</v>
      </c>
      <c r="F36" s="1296">
        <v>140668.639210397</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338.99570164319999</v>
      </c>
    </row>
    <row r="39" spans="1:6">
      <c r="A39" s="1295" t="s">
        <v>29</v>
      </c>
      <c r="B39" s="1295" t="s">
        <v>30</v>
      </c>
      <c r="C39" s="1296">
        <v>2430</v>
      </c>
      <c r="D39" s="1296">
        <v>44573919.219410598</v>
      </c>
      <c r="E39" s="1296">
        <v>6193</v>
      </c>
      <c r="F39" s="1296">
        <v>28859793.142070498</v>
      </c>
    </row>
    <row r="40" spans="1:6">
      <c r="A40" s="1295" t="s">
        <v>29</v>
      </c>
      <c r="B40" s="1295" t="s">
        <v>28</v>
      </c>
      <c r="C40" s="1296">
        <v>0</v>
      </c>
      <c r="D40" s="1296">
        <v>0</v>
      </c>
      <c r="E40" s="1296">
        <v>0</v>
      </c>
      <c r="F40" s="1296">
        <v>0</v>
      </c>
    </row>
    <row r="41" spans="1:6">
      <c r="A41" s="1295" t="s">
        <v>31</v>
      </c>
      <c r="B41" s="1295" t="s">
        <v>32</v>
      </c>
      <c r="C41" s="1296">
        <v>6</v>
      </c>
      <c r="D41" s="1296">
        <v>232263.55363789899</v>
      </c>
      <c r="E41" s="1296">
        <v>87</v>
      </c>
      <c r="F41" s="1296">
        <v>1516567.6146362401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36551.935019283199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18018.872971282799</v>
      </c>
    </row>
    <row r="48" spans="1:6">
      <c r="A48" s="1295" t="s">
        <v>31</v>
      </c>
      <c r="B48" s="1295" t="s">
        <v>28</v>
      </c>
      <c r="C48" s="1296">
        <v>50</v>
      </c>
      <c r="D48" s="1296">
        <v>40383823.026938699</v>
      </c>
      <c r="E48" s="1296">
        <v>57</v>
      </c>
      <c r="F48" s="1296">
        <v>46287595.5165089</v>
      </c>
    </row>
    <row r="49" spans="1:6">
      <c r="A49" s="1295" t="s">
        <v>31</v>
      </c>
      <c r="B49" s="1295" t="s">
        <v>39</v>
      </c>
      <c r="C49" s="1296">
        <v>0</v>
      </c>
      <c r="D49" s="1296">
        <v>0</v>
      </c>
      <c r="E49" s="1296">
        <v>0</v>
      </c>
      <c r="F49" s="1296">
        <v>0</v>
      </c>
    </row>
    <row r="50" spans="1:6">
      <c r="A50" s="1295" t="s">
        <v>31</v>
      </c>
      <c r="B50" s="1295" t="s">
        <v>40</v>
      </c>
      <c r="C50" s="1296">
        <v>0</v>
      </c>
      <c r="D50" s="1296">
        <v>0</v>
      </c>
      <c r="E50" s="1296">
        <v>6</v>
      </c>
      <c r="F50" s="1296">
        <v>175120.12140209501</v>
      </c>
    </row>
    <row r="51" spans="1:6">
      <c r="A51" s="1295" t="s">
        <v>41</v>
      </c>
      <c r="B51" s="1295" t="s">
        <v>42</v>
      </c>
      <c r="C51" s="1296">
        <v>0</v>
      </c>
      <c r="D51" s="1296">
        <v>0</v>
      </c>
      <c r="E51" s="1296">
        <v>21</v>
      </c>
      <c r="F51" s="1296">
        <v>654993.08131633804</v>
      </c>
    </row>
    <row r="52" spans="1:6">
      <c r="A52" s="1295" t="s">
        <v>41</v>
      </c>
      <c r="B52" s="1295" t="s">
        <v>28</v>
      </c>
      <c r="C52" s="1296">
        <v>2</v>
      </c>
      <c r="D52" s="1296">
        <v>63385.469639043898</v>
      </c>
      <c r="E52" s="1296">
        <v>12</v>
      </c>
      <c r="F52" s="1296">
        <v>68386.509830389899</v>
      </c>
    </row>
    <row r="53" spans="1:6">
      <c r="A53" s="1295" t="s">
        <v>43</v>
      </c>
      <c r="B53" s="1295" t="s">
        <v>44</v>
      </c>
      <c r="C53" s="1296">
        <v>72</v>
      </c>
      <c r="D53" s="1296">
        <v>1617812.42190445</v>
      </c>
      <c r="E53" s="1296">
        <v>199</v>
      </c>
      <c r="F53" s="1296">
        <v>1125995.2558625699</v>
      </c>
    </row>
    <row r="54" spans="1:6">
      <c r="A54" s="1295" t="s">
        <v>45</v>
      </c>
      <c r="B54" s="1295" t="s">
        <v>46</v>
      </c>
      <c r="C54" s="1296">
        <v>0</v>
      </c>
      <c r="D54" s="1296">
        <v>0</v>
      </c>
      <c r="E54" s="1296">
        <v>1</v>
      </c>
      <c r="F54" s="1296">
        <v>835375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172392.17714799501</v>
      </c>
      <c r="E57" s="1296">
        <v>58</v>
      </c>
      <c r="F57" s="1296">
        <v>1444073.2933237699</v>
      </c>
    </row>
    <row r="58" spans="1:6">
      <c r="A58" s="1295" t="s">
        <v>48</v>
      </c>
      <c r="B58" s="1295" t="s">
        <v>50</v>
      </c>
      <c r="C58" s="1296">
        <v>11</v>
      </c>
      <c r="D58" s="1296">
        <v>241735.110007323</v>
      </c>
      <c r="E58" s="1296">
        <v>16</v>
      </c>
      <c r="F58" s="1296">
        <v>157231.89695643401</v>
      </c>
    </row>
    <row r="59" spans="1:6">
      <c r="A59" s="1295" t="s">
        <v>48</v>
      </c>
      <c r="B59" s="1295" t="s">
        <v>51</v>
      </c>
      <c r="C59" s="1296">
        <v>3</v>
      </c>
      <c r="D59" s="1296">
        <v>221987.76494989201</v>
      </c>
      <c r="E59" s="1296">
        <v>38</v>
      </c>
      <c r="F59" s="1296">
        <v>1584148.4347763299</v>
      </c>
    </row>
    <row r="60" spans="1:6">
      <c r="A60" s="1295" t="s">
        <v>48</v>
      </c>
      <c r="B60" s="1295" t="s">
        <v>52</v>
      </c>
      <c r="C60" s="1296">
        <v>28</v>
      </c>
      <c r="D60" s="1296">
        <v>1174831.3754318301</v>
      </c>
      <c r="E60" s="1296">
        <v>41</v>
      </c>
      <c r="F60" s="1296">
        <v>1725196.86185259</v>
      </c>
    </row>
    <row r="61" spans="1:6">
      <c r="A61" s="1295" t="s">
        <v>48</v>
      </c>
      <c r="B61" s="1295" t="s">
        <v>53</v>
      </c>
      <c r="C61" s="1296">
        <v>39</v>
      </c>
      <c r="D61" s="1296">
        <v>2498611.52663799</v>
      </c>
      <c r="E61" s="1296">
        <v>214</v>
      </c>
      <c r="F61" s="1296">
        <v>2851072.7667643698</v>
      </c>
    </row>
    <row r="62" spans="1:6">
      <c r="A62" s="1295" t="s">
        <v>48</v>
      </c>
      <c r="B62" s="1295" t="s">
        <v>54</v>
      </c>
      <c r="C62" s="1296">
        <v>0</v>
      </c>
      <c r="D62" s="1296">
        <v>0</v>
      </c>
      <c r="E62" s="1296">
        <v>4</v>
      </c>
      <c r="F62" s="1296">
        <v>31858.8321112464</v>
      </c>
    </row>
    <row r="63" spans="1:6">
      <c r="A63" s="1295" t="s">
        <v>48</v>
      </c>
      <c r="B63" s="1295" t="s">
        <v>28</v>
      </c>
      <c r="C63" s="1296">
        <v>133</v>
      </c>
      <c r="D63" s="1296">
        <v>6727683.3347435202</v>
      </c>
      <c r="E63" s="1296">
        <v>231</v>
      </c>
      <c r="F63" s="1296">
        <v>5040181.0183099303</v>
      </c>
    </row>
    <row r="64" spans="1:6">
      <c r="A64" s="1295" t="s">
        <v>55</v>
      </c>
      <c r="B64" s="1295" t="s">
        <v>56</v>
      </c>
      <c r="C64" s="1296">
        <v>0</v>
      </c>
      <c r="D64" s="1296">
        <v>0</v>
      </c>
      <c r="E64" s="1296">
        <v>0</v>
      </c>
      <c r="F64" s="1296">
        <v>0</v>
      </c>
    </row>
    <row r="65" spans="1:6">
      <c r="A65" s="1295" t="s">
        <v>55</v>
      </c>
      <c r="B65" s="1295" t="s">
        <v>28</v>
      </c>
      <c r="C65" s="1296">
        <v>2</v>
      </c>
      <c r="D65" s="1296">
        <v>61981.301566745999</v>
      </c>
      <c r="E65" s="1296">
        <v>6</v>
      </c>
      <c r="F65" s="1296">
        <v>292210.15056824998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81542466</v>
      </c>
      <c r="E73" s="447"/>
      <c r="F73" s="327"/>
    </row>
    <row r="74" spans="1:6">
      <c r="A74" s="1295" t="s">
        <v>63</v>
      </c>
      <c r="B74" s="1295" t="s">
        <v>755</v>
      </c>
      <c r="C74" s="1309" t="s">
        <v>749</v>
      </c>
      <c r="D74" s="1310">
        <v>5086060.3734811135</v>
      </c>
      <c r="E74" s="447"/>
      <c r="F74" s="327"/>
    </row>
    <row r="75" spans="1:6">
      <c r="A75" s="1295" t="s">
        <v>64</v>
      </c>
      <c r="B75" s="1295" t="s">
        <v>754</v>
      </c>
      <c r="C75" s="1309" t="s">
        <v>750</v>
      </c>
      <c r="D75" s="1310">
        <v>22808665</v>
      </c>
      <c r="E75" s="447"/>
      <c r="F75" s="327"/>
    </row>
    <row r="76" spans="1:6">
      <c r="A76" s="1295" t="s">
        <v>64</v>
      </c>
      <c r="B76" s="1295" t="s">
        <v>755</v>
      </c>
      <c r="C76" s="1309" t="s">
        <v>751</v>
      </c>
      <c r="D76" s="1310">
        <v>208924.37348111355</v>
      </c>
      <c r="E76" s="447"/>
      <c r="F76" s="327"/>
    </row>
    <row r="77" spans="1:6">
      <c r="A77" s="1295" t="s">
        <v>65</v>
      </c>
      <c r="B77" s="1295" t="s">
        <v>754</v>
      </c>
      <c r="C77" s="1309" t="s">
        <v>752</v>
      </c>
      <c r="D77" s="1310">
        <v>86943899</v>
      </c>
      <c r="E77" s="447"/>
      <c r="F77" s="327"/>
    </row>
    <row r="78" spans="1:6">
      <c r="A78" s="1290" t="s">
        <v>65</v>
      </c>
      <c r="B78" s="1290" t="s">
        <v>755</v>
      </c>
      <c r="C78" s="1290" t="s">
        <v>753</v>
      </c>
      <c r="D78" s="1311">
        <v>9336504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476647.2530377729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265</v>
      </c>
      <c r="C89" s="327"/>
      <c r="D89" s="327"/>
      <c r="E89" s="327"/>
      <c r="F89" s="327"/>
    </row>
    <row r="90" spans="1:6">
      <c r="A90" s="1295" t="s">
        <v>556</v>
      </c>
      <c r="B90" s="1296">
        <v>0</v>
      </c>
      <c r="C90" s="327"/>
      <c r="D90" s="327"/>
      <c r="E90" s="327"/>
      <c r="F90" s="327"/>
    </row>
    <row r="91" spans="1:6">
      <c r="A91" s="1295" t="s">
        <v>67</v>
      </c>
      <c r="B91" s="1296">
        <v>2812.3102964001782</v>
      </c>
      <c r="C91" s="327"/>
      <c r="D91" s="327"/>
      <c r="E91" s="327"/>
      <c r="F91" s="327"/>
    </row>
    <row r="92" spans="1:6">
      <c r="A92" s="1290" t="s">
        <v>68</v>
      </c>
      <c r="B92" s="1291">
        <v>685.78387269840482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1003</v>
      </c>
      <c r="C97" s="327"/>
      <c r="D97" s="327"/>
      <c r="E97" s="327"/>
      <c r="F97" s="327"/>
    </row>
    <row r="98" spans="1:6">
      <c r="A98" s="1295" t="s">
        <v>71</v>
      </c>
      <c r="B98" s="1296">
        <v>4</v>
      </c>
      <c r="C98" s="327"/>
      <c r="D98" s="327"/>
      <c r="E98" s="327"/>
      <c r="F98" s="327"/>
    </row>
    <row r="99" spans="1:6">
      <c r="A99" s="1295" t="s">
        <v>72</v>
      </c>
      <c r="B99" s="1296">
        <v>252</v>
      </c>
      <c r="C99" s="327"/>
      <c r="D99" s="327"/>
      <c r="E99" s="327"/>
      <c r="F99" s="327"/>
    </row>
    <row r="100" spans="1:6">
      <c r="A100" s="1295" t="s">
        <v>73</v>
      </c>
      <c r="B100" s="1296">
        <v>479</v>
      </c>
      <c r="C100" s="327"/>
      <c r="D100" s="327"/>
      <c r="E100" s="327"/>
      <c r="F100" s="327"/>
    </row>
    <row r="101" spans="1:6">
      <c r="A101" s="1295" t="s">
        <v>74</v>
      </c>
      <c r="B101" s="1296">
        <v>73</v>
      </c>
      <c r="C101" s="327"/>
      <c r="D101" s="327"/>
      <c r="E101" s="327"/>
      <c r="F101" s="327"/>
    </row>
    <row r="102" spans="1:6">
      <c r="A102" s="1295" t="s">
        <v>75</v>
      </c>
      <c r="B102" s="1296">
        <v>50</v>
      </c>
      <c r="C102" s="327"/>
      <c r="D102" s="327"/>
      <c r="E102" s="327"/>
      <c r="F102" s="327"/>
    </row>
    <row r="103" spans="1:6">
      <c r="A103" s="1295" t="s">
        <v>76</v>
      </c>
      <c r="B103" s="1296">
        <v>111</v>
      </c>
      <c r="C103" s="327"/>
      <c r="D103" s="327"/>
      <c r="E103" s="327"/>
      <c r="F103" s="327"/>
    </row>
    <row r="104" spans="1:6">
      <c r="A104" s="1295" t="s">
        <v>77</v>
      </c>
      <c r="B104" s="1296">
        <v>3569</v>
      </c>
      <c r="C104" s="327"/>
      <c r="D104" s="327"/>
      <c r="E104" s="327"/>
      <c r="F104" s="327"/>
    </row>
    <row r="105" spans="1:6">
      <c r="A105" s="1290" t="s">
        <v>78</v>
      </c>
      <c r="B105" s="1299">
        <v>16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24</v>
      </c>
      <c r="C123" s="1296">
        <v>12</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86</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95330.963495676086</v>
      </c>
      <c r="C3" s="44" t="s">
        <v>169</v>
      </c>
      <c r="D3" s="44"/>
      <c r="E3" s="157"/>
      <c r="F3" s="44"/>
      <c r="G3" s="44"/>
      <c r="H3" s="44"/>
      <c r="I3" s="44"/>
      <c r="J3" s="44"/>
      <c r="K3" s="97"/>
    </row>
    <row r="4" spans="1:11">
      <c r="A4" s="354" t="s">
        <v>170</v>
      </c>
      <c r="B4" s="50">
        <f>IF(ISERROR('SEAP template'!B78+'SEAP template'!C78),0,'SEAP template'!B78+'SEAP template'!C78)</f>
        <v>3853.0941690985828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10.694117647058825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0.21217978395590362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15.277310924369752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64.285714285714292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835.375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835.375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0.21217978395590362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177.24968702216299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28859.793142070499</v>
      </c>
      <c r="C5" s="18">
        <f>IF(ISERROR('Eigen informatie GS &amp; warmtenet'!B57),0,'Eigen informatie GS &amp; warmtenet'!B57)</f>
        <v>0</v>
      </c>
      <c r="D5" s="31">
        <f>(SUM(HH_hh_gas_kWh,HH_rest_gas_kWh)/1000)*0.902</f>
        <v>40205.675135908365</v>
      </c>
      <c r="E5" s="18">
        <f>B32*B41</f>
        <v>2046.4172530788883</v>
      </c>
      <c r="F5" s="18">
        <f>B36*B45</f>
        <v>62389.320691633242</v>
      </c>
      <c r="G5" s="19"/>
      <c r="H5" s="18"/>
      <c r="I5" s="18"/>
      <c r="J5" s="18">
        <f>B35*B44+C35*C44</f>
        <v>1132.032484650807</v>
      </c>
      <c r="K5" s="18"/>
      <c r="L5" s="18"/>
      <c r="M5" s="18"/>
      <c r="N5" s="18">
        <f>B34*B43+C34*C43</f>
        <v>9614.878092962148</v>
      </c>
      <c r="O5" s="18">
        <f>B52*B53*B54</f>
        <v>153.20666666666668</v>
      </c>
      <c r="P5" s="18">
        <f>B60*B61*B62/1000-B60*B61*B62/1000/B63</f>
        <v>667.33333333333337</v>
      </c>
    </row>
    <row r="6" spans="1:16">
      <c r="A6" s="17" t="s">
        <v>628</v>
      </c>
      <c r="B6" s="768">
        <f>kWh_PV_kleiner_dan_10kW</f>
        <v>2812.3102964001782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31672.103438470676</v>
      </c>
      <c r="C8" s="22">
        <f>C5</f>
        <v>0</v>
      </c>
      <c r="D8" s="22">
        <f>D5</f>
        <v>40205.675135908365</v>
      </c>
      <c r="E8" s="22">
        <f>E5</f>
        <v>2046.4172530788883</v>
      </c>
      <c r="F8" s="22">
        <f>F5</f>
        <v>62389.320691633242</v>
      </c>
      <c r="G8" s="22"/>
      <c r="H8" s="22"/>
      <c r="I8" s="22"/>
      <c r="J8" s="22">
        <f>J5</f>
        <v>1132.032484650807</v>
      </c>
      <c r="K8" s="22"/>
      <c r="L8" s="22">
        <f>L5</f>
        <v>0</v>
      </c>
      <c r="M8" s="22">
        <f>M5</f>
        <v>0</v>
      </c>
      <c r="N8" s="22">
        <f>N5</f>
        <v>9614.878092962148</v>
      </c>
      <c r="O8" s="22">
        <f>O5</f>
        <v>153.20666666666668</v>
      </c>
      <c r="P8" s="22">
        <f>P5</f>
        <v>667.33333333333337</v>
      </c>
    </row>
    <row r="9" spans="1:16">
      <c r="B9" s="20"/>
      <c r="C9" s="20"/>
      <c r="D9" s="258"/>
      <c r="E9" s="20"/>
      <c r="F9" s="20"/>
      <c r="G9" s="20"/>
      <c r="H9" s="20"/>
      <c r="I9" s="20"/>
      <c r="J9" s="20"/>
      <c r="K9" s="20"/>
      <c r="L9" s="20"/>
      <c r="M9" s="20"/>
      <c r="N9" s="20"/>
      <c r="O9" s="20"/>
      <c r="P9" s="20"/>
    </row>
    <row r="10" spans="1:16">
      <c r="A10" s="25" t="s">
        <v>213</v>
      </c>
      <c r="B10" s="26">
        <f ca="1">'EF ele_warmte'!B12</f>
        <v>0.21217978395590362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6720.1800650037403</v>
      </c>
      <c r="C12" s="24">
        <f ca="1">C10*C8</f>
        <v>0</v>
      </c>
      <c r="D12" s="24">
        <f>D8*D10</f>
        <v>8121.5463774534901</v>
      </c>
      <c r="E12" s="24">
        <f>E10*E8</f>
        <v>464.53671644890767</v>
      </c>
      <c r="F12" s="24">
        <f>F10*F8</f>
        <v>16657.948624666078</v>
      </c>
      <c r="G12" s="24"/>
      <c r="H12" s="24"/>
      <c r="I12" s="24"/>
      <c r="J12" s="24">
        <f>J10*J8</f>
        <v>400.73949956638563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6278</v>
      </c>
      <c r="C26" s="37"/>
      <c r="D26" s="228"/>
    </row>
    <row r="27" spans="1:5" s="16" customFormat="1">
      <c r="A27" s="230" t="s">
        <v>654</v>
      </c>
      <c r="B27" s="38">
        <f>SUM(HH_hh_gas_aantal,HH_rest_gas_aantal)</f>
        <v>2430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2308.5</v>
      </c>
      <c r="C31" s="35" t="s">
        <v>110</v>
      </c>
      <c r="D31" s="174"/>
    </row>
    <row r="32" spans="1:5">
      <c r="A32" s="171" t="s">
        <v>72</v>
      </c>
      <c r="B32" s="34">
        <f>IF((B21*($B$26-($B$27-0.05*$B$27)-$B$60))&lt;0,0,B21*($B$26-($B$27-0.05*$B$27)-$B$60))</f>
        <v>96.691638121246854</v>
      </c>
      <c r="C32" s="35" t="s">
        <v>110</v>
      </c>
      <c r="D32" s="174"/>
    </row>
    <row r="33" spans="1:6">
      <c r="A33" s="171" t="s">
        <v>73</v>
      </c>
      <c r="B33" s="34">
        <f>IF((B22*($B$26-($B$27-0.05*$B$27)-$B$60))&lt;0,0,B22*($B$26-($B$27-0.05*$B$27)-$B$60))</f>
        <v>650.84812832909654</v>
      </c>
      <c r="C33" s="35" t="s">
        <v>110</v>
      </c>
      <c r="D33" s="174"/>
    </row>
    <row r="34" spans="1:6">
      <c r="A34" s="171" t="s">
        <v>74</v>
      </c>
      <c r="B34" s="34">
        <f>IF((B24*($B$26-($B$27-0.05*$B$27)-$B$60))&lt;0,0,B24*($B$26-($B$27-0.05*$B$27)-$B$60))</f>
        <v>165.06880397975317</v>
      </c>
      <c r="C34" s="34">
        <f>B26*C24</f>
        <v>1283.8656131064356</v>
      </c>
      <c r="D34" s="233"/>
    </row>
    <row r="35" spans="1:6">
      <c r="A35" s="171" t="s">
        <v>76</v>
      </c>
      <c r="B35" s="34">
        <f>IF((B19*($B$26-($B$27-0.05*$B$27)-$B$60))&lt;0,0,B19*($B$26-($B$27-0.05*$B$27)-$B$60))</f>
        <v>61.367357568927154</v>
      </c>
      <c r="C35" s="34">
        <f>B35/2</f>
        <v>30.683678784463577</v>
      </c>
      <c r="D35" s="233"/>
    </row>
    <row r="36" spans="1:6">
      <c r="A36" s="171" t="s">
        <v>77</v>
      </c>
      <c r="B36" s="34">
        <f>IF((B18*($B$26-($B$27-0.05*$B$27)-$B$60))&lt;0,0,B18*($B$26-($B$27-0.05*$B$27)-$B$60))</f>
        <v>2960.5240720009751</v>
      </c>
      <c r="C36" s="35" t="s">
        <v>110</v>
      </c>
      <c r="D36" s="174"/>
    </row>
    <row r="37" spans="1:6">
      <c r="A37" s="171" t="s">
        <v>78</v>
      </c>
      <c r="B37" s="34">
        <f>B60</f>
        <v>35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98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12833.763104094671</v>
      </c>
      <c r="C5" s="18">
        <f>IF(ISERROR('Eigen informatie GS &amp; warmtenet'!B58),0,'Eigen informatie GS &amp; warmtenet'!B58)</f>
        <v>0</v>
      </c>
      <c r="D5" s="31">
        <f>SUM(D6:D12)</f>
        <v>9955.5916426045333</v>
      </c>
      <c r="E5" s="18">
        <f>SUM(E6:E12)</f>
        <v>158.27355455118186</v>
      </c>
      <c r="F5" s="18">
        <f>SUM(F6:F12)</f>
        <v>2545.821211330931</v>
      </c>
      <c r="G5" s="19"/>
      <c r="H5" s="18"/>
      <c r="I5" s="18"/>
      <c r="J5" s="18">
        <f>SUM(J6:J12)</f>
        <v>0</v>
      </c>
      <c r="K5" s="18"/>
      <c r="L5" s="18"/>
      <c r="M5" s="18"/>
      <c r="N5" s="18">
        <f>SUM(N6:N12)</f>
        <v>1174.6419560454074</v>
      </c>
      <c r="O5" s="18">
        <f>B38*B39*B40</f>
        <v>0</v>
      </c>
      <c r="P5" s="18">
        <f>B46*B47*B48/1000-B46*B47*B48/1000/B49</f>
        <v>0</v>
      </c>
      <c r="R5" s="33"/>
    </row>
    <row r="6" spans="1:18">
      <c r="A6" s="33" t="s">
        <v>53</v>
      </c>
      <c r="B6" s="38">
        <f>B26</f>
        <v>2851.0727667643696</v>
      </c>
      <c r="C6" s="34"/>
      <c r="D6" s="38">
        <f>IF(ISERROR(TER_kantoor_gas_kWh/1000),0,TER_kantoor_gas_kWh/1000)*0.902</f>
        <v>2253.7475970274672</v>
      </c>
      <c r="E6" s="34">
        <f>$C$26*'E Balans VL '!I12/100/3.6*1000000</f>
        <v>4.6791882538538356</v>
      </c>
      <c r="F6" s="34">
        <f>$C$26*('E Balans VL '!L12+'E Balans VL '!N12)/100/3.6*1000000</f>
        <v>336.07439710218006</v>
      </c>
      <c r="G6" s="35"/>
      <c r="H6" s="34"/>
      <c r="I6" s="34"/>
      <c r="J6" s="34">
        <f>$C$26*('E Balans VL '!D12+'E Balans VL '!E12)/100/3.6*1000000</f>
        <v>0</v>
      </c>
      <c r="K6" s="34"/>
      <c r="L6" s="34"/>
      <c r="M6" s="34"/>
      <c r="N6" s="34">
        <f>$C$26*'E Balans VL '!Y12/100/3.6*1000000</f>
        <v>0.57604575158990379</v>
      </c>
      <c r="O6" s="34"/>
      <c r="P6" s="34"/>
      <c r="R6" s="33"/>
    </row>
    <row r="7" spans="1:18">
      <c r="A7" s="33" t="s">
        <v>52</v>
      </c>
      <c r="B7" s="38">
        <f t="shared" ref="B7:B12" si="0">B27</f>
        <v>1725.19686185259</v>
      </c>
      <c r="C7" s="34"/>
      <c r="D7" s="38">
        <f>IF(ISERROR(TER_horeca_gas_kWh/1000),0,TER_horeca_gas_kWh/1000)*0.902</f>
        <v>1059.6979006395109</v>
      </c>
      <c r="E7" s="34">
        <f>$C$27*'E Balans VL '!I9/100/3.6*1000000</f>
        <v>89.525233338513871</v>
      </c>
      <c r="F7" s="34">
        <f>$C$27*('E Balans VL '!L9+'E Balans VL '!N9)/100/3.6*1000000</f>
        <v>393.69117568380818</v>
      </c>
      <c r="G7" s="35"/>
      <c r="H7" s="34"/>
      <c r="I7" s="34"/>
      <c r="J7" s="34">
        <f>$C$27*('E Balans VL '!D9+'E Balans VL '!E9)/100/3.6*1000000</f>
        <v>0</v>
      </c>
      <c r="K7" s="34"/>
      <c r="L7" s="34"/>
      <c r="M7" s="34"/>
      <c r="N7" s="34">
        <f>$C$27*'E Balans VL '!Y9/100/3.6*1000000</f>
        <v>0.18217999800567947</v>
      </c>
      <c r="O7" s="34"/>
      <c r="P7" s="34"/>
      <c r="R7" s="33"/>
    </row>
    <row r="8" spans="1:18">
      <c r="A8" s="6" t="s">
        <v>51</v>
      </c>
      <c r="B8" s="38">
        <f t="shared" si="0"/>
        <v>1584.1484347763299</v>
      </c>
      <c r="C8" s="34"/>
      <c r="D8" s="38">
        <f>IF(ISERROR(TER_handel_gas_kWh/1000),0,TER_handel_gas_kWh/1000)*0.902</f>
        <v>200.23296398480261</v>
      </c>
      <c r="E8" s="34">
        <f>$C$28*'E Balans VL '!I13/100/3.6*1000000</f>
        <v>8.5308339872399728</v>
      </c>
      <c r="F8" s="34">
        <f>$C$28*('E Balans VL '!L13+'E Balans VL '!N13)/100/3.6*1000000</f>
        <v>323.05494250233357</v>
      </c>
      <c r="G8" s="35"/>
      <c r="H8" s="34"/>
      <c r="I8" s="34"/>
      <c r="J8" s="34">
        <f>$C$28*('E Balans VL '!D13+'E Balans VL '!E13)/100/3.6*1000000</f>
        <v>0</v>
      </c>
      <c r="K8" s="34"/>
      <c r="L8" s="34"/>
      <c r="M8" s="34"/>
      <c r="N8" s="34">
        <f>$C$28*'E Balans VL '!Y13/100/3.6*1000000</f>
        <v>7.8771336013223516</v>
      </c>
      <c r="O8" s="34"/>
      <c r="P8" s="34"/>
      <c r="R8" s="33"/>
    </row>
    <row r="9" spans="1:18">
      <c r="A9" s="33" t="s">
        <v>50</v>
      </c>
      <c r="B9" s="38">
        <f t="shared" si="0"/>
        <v>157.23189695643401</v>
      </c>
      <c r="C9" s="34"/>
      <c r="D9" s="38">
        <f>IF(ISERROR(TER_gezond_gas_kWh/1000),0,TER_gezond_gas_kWh/1000)*0.902</f>
        <v>218.04506922660536</v>
      </c>
      <c r="E9" s="34">
        <f>$C$29*'E Balans VL '!I10/100/3.6*1000000</f>
        <v>0.15581859791755834</v>
      </c>
      <c r="F9" s="34">
        <f>$C$29*('E Balans VL '!L10+'E Balans VL '!N10)/100/3.6*1000000</f>
        <v>54.554936208321465</v>
      </c>
      <c r="G9" s="35"/>
      <c r="H9" s="34"/>
      <c r="I9" s="34"/>
      <c r="J9" s="34">
        <f>$C$29*('E Balans VL '!D10+'E Balans VL '!E10)/100/3.6*1000000</f>
        <v>0</v>
      </c>
      <c r="K9" s="34"/>
      <c r="L9" s="34"/>
      <c r="M9" s="34"/>
      <c r="N9" s="34">
        <f>$C$29*'E Balans VL '!Y10/100/3.6*1000000</f>
        <v>1.3548536351396618</v>
      </c>
      <c r="O9" s="34"/>
      <c r="P9" s="34"/>
      <c r="R9" s="33"/>
    </row>
    <row r="10" spans="1:18">
      <c r="A10" s="33" t="s">
        <v>49</v>
      </c>
      <c r="B10" s="38">
        <f t="shared" si="0"/>
        <v>1444.07329332377</v>
      </c>
      <c r="C10" s="34"/>
      <c r="D10" s="38">
        <f>IF(ISERROR(TER_ander_gas_kWh/1000),0,TER_ander_gas_kWh/1000)*0.902</f>
        <v>155.49774378749149</v>
      </c>
      <c r="E10" s="34">
        <f>$C$30*'E Balans VL '!I14/100/3.6*1000000</f>
        <v>11.813962787860081</v>
      </c>
      <c r="F10" s="34">
        <f>$C$30*('E Balans VL '!L14+'E Balans VL '!N14)/100/3.6*1000000</f>
        <v>422.18824030919581</v>
      </c>
      <c r="G10" s="35"/>
      <c r="H10" s="34"/>
      <c r="I10" s="34"/>
      <c r="J10" s="34">
        <f>$C$30*('E Balans VL '!D14+'E Balans VL '!E14)/100/3.6*1000000</f>
        <v>0</v>
      </c>
      <c r="K10" s="34"/>
      <c r="L10" s="34"/>
      <c r="M10" s="34"/>
      <c r="N10" s="34">
        <f>$C$30*'E Balans VL '!Y14/100/3.6*1000000</f>
        <v>833.04081182185962</v>
      </c>
      <c r="O10" s="34"/>
      <c r="P10" s="34"/>
      <c r="R10" s="33"/>
    </row>
    <row r="11" spans="1:18">
      <c r="A11" s="33" t="s">
        <v>54</v>
      </c>
      <c r="B11" s="38">
        <f t="shared" si="0"/>
        <v>31.8588321112464</v>
      </c>
      <c r="C11" s="34"/>
      <c r="D11" s="38">
        <f>IF(ISERROR(TER_onderwijs_gas_kWh/1000),0,TER_onderwijs_gas_kWh/1000)*0.902</f>
        <v>0</v>
      </c>
      <c r="E11" s="34">
        <f>$C$31*'E Balans VL '!I11/100/3.6*1000000</f>
        <v>1.963643985578517E-2</v>
      </c>
      <c r="F11" s="34">
        <f>$C$31*('E Balans VL '!L11+'E Balans VL '!N11)/100/3.6*1000000</f>
        <v>12.317140437458654</v>
      </c>
      <c r="G11" s="35"/>
      <c r="H11" s="34"/>
      <c r="I11" s="34"/>
      <c r="J11" s="34">
        <f>$C$31*('E Balans VL '!D11+'E Balans VL '!E11)/100/3.6*1000000</f>
        <v>0</v>
      </c>
      <c r="K11" s="34"/>
      <c r="L11" s="34"/>
      <c r="M11" s="34"/>
      <c r="N11" s="34">
        <f>$C$31*'E Balans VL '!Y11/100/3.6*1000000</f>
        <v>0.10362995365593369</v>
      </c>
      <c r="O11" s="34"/>
      <c r="P11" s="34"/>
      <c r="R11" s="33"/>
    </row>
    <row r="12" spans="1:18">
      <c r="A12" s="33" t="s">
        <v>255</v>
      </c>
      <c r="B12" s="38">
        <f t="shared" si="0"/>
        <v>5040.1810183099306</v>
      </c>
      <c r="C12" s="34"/>
      <c r="D12" s="38">
        <f>IF(ISERROR(TER_rest_gas_kWh/1000),0,TER_rest_gas_kWh/1000)*0.902</f>
        <v>6068.3703679386554</v>
      </c>
      <c r="E12" s="34">
        <f>$C$32*'E Balans VL '!I8/100/3.6*1000000</f>
        <v>43.54888114594074</v>
      </c>
      <c r="F12" s="34">
        <f>$C$32*('E Balans VL '!L8+'E Balans VL '!N8)/100/3.6*1000000</f>
        <v>1003.9403790876327</v>
      </c>
      <c r="G12" s="35"/>
      <c r="H12" s="34"/>
      <c r="I12" s="34"/>
      <c r="J12" s="34">
        <f>$C$32*('E Balans VL '!D8+'E Balans VL '!E8)/100/3.6*1000000</f>
        <v>0</v>
      </c>
      <c r="K12" s="34"/>
      <c r="L12" s="34"/>
      <c r="M12" s="34"/>
      <c r="N12" s="34">
        <f>$C$32*'E Balans VL '!Y8/100/3.6*1000000</f>
        <v>331.50730128383418</v>
      </c>
      <c r="O12" s="34"/>
      <c r="P12" s="34"/>
      <c r="R12" s="33"/>
    </row>
    <row r="13" spans="1:18">
      <c r="A13" s="17" t="s">
        <v>495</v>
      </c>
      <c r="B13" s="246">
        <f ca="1">'lokale energieproductie'!N38+'lokale energieproductie'!N31</f>
        <v>90</v>
      </c>
      <c r="C13" s="246">
        <f ca="1">'lokale energieproductie'!O38+'lokale energieproductie'!O31</f>
        <v>64.285714285714292</v>
      </c>
      <c r="D13" s="305">
        <f ca="1">('lokale energieproductie'!P31+'lokale energieproductie'!P38)*(-1)</f>
        <v>-128.57142857142858</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-112.5</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12923.763104094671</v>
      </c>
      <c r="C16" s="22">
        <f t="shared" ca="1" si="1"/>
        <v>64.285714285714292</v>
      </c>
      <c r="D16" s="22">
        <f t="shared" ca="1" si="1"/>
        <v>9827.0202140331039</v>
      </c>
      <c r="E16" s="22">
        <f t="shared" si="1"/>
        <v>158.27355455118186</v>
      </c>
      <c r="F16" s="22">
        <f t="shared" ca="1" si="1"/>
        <v>2545.821211330931</v>
      </c>
      <c r="G16" s="22">
        <f t="shared" si="1"/>
        <v>0</v>
      </c>
      <c r="H16" s="22">
        <f t="shared" si="1"/>
        <v>0</v>
      </c>
      <c r="I16" s="22">
        <f t="shared" si="1"/>
        <v>0</v>
      </c>
      <c r="J16" s="22">
        <f t="shared" si="1"/>
        <v>0</v>
      </c>
      <c r="K16" s="22">
        <f t="shared" si="1"/>
        <v>0</v>
      </c>
      <c r="L16" s="22">
        <f t="shared" ca="1" si="1"/>
        <v>0</v>
      </c>
      <c r="M16" s="22">
        <f t="shared" si="1"/>
        <v>0</v>
      </c>
      <c r="N16" s="22">
        <f t="shared" ca="1" si="1"/>
        <v>1062.1419560454074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0.21217978395590362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2742.1612633240857</v>
      </c>
      <c r="C20" s="24">
        <f t="shared" ref="C20:P20" ca="1" si="2">C16*C18</f>
        <v>15.277310924369752</v>
      </c>
      <c r="D20" s="24">
        <f t="shared" ca="1" si="2"/>
        <v>1985.058083234687</v>
      </c>
      <c r="E20" s="24">
        <f t="shared" si="2"/>
        <v>35.928096883118286</v>
      </c>
      <c r="F20" s="24">
        <f t="shared" ca="1" si="2"/>
        <v>679.73426342535856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2851.0727667643696</v>
      </c>
      <c r="C26" s="40">
        <f>IF(ISERROR(B26*3.6/1000000/'E Balans VL '!Z12*100),0,B26*3.6/1000000/'E Balans VL '!Z12*100)</f>
        <v>6.0583251700953959E-2</v>
      </c>
      <c r="D26" s="236" t="s">
        <v>691</v>
      </c>
      <c r="F26" s="6"/>
    </row>
    <row r="27" spans="1:18">
      <c r="A27" s="231" t="s">
        <v>52</v>
      </c>
      <c r="B27" s="34">
        <f>IF(ISERROR(TER_horeca_ele_kWh/1000),0,TER_horeca_ele_kWh/1000)</f>
        <v>1725.19686185259</v>
      </c>
      <c r="C27" s="40">
        <f>IF(ISERROR(B27*3.6/1000000/'E Balans VL '!Z9*100),0,B27*3.6/1000000/'E Balans VL '!Z9*100)</f>
        <v>0.13578633391727665</v>
      </c>
      <c r="D27" s="236" t="s">
        <v>691</v>
      </c>
      <c r="F27" s="6"/>
    </row>
    <row r="28" spans="1:18">
      <c r="A28" s="171" t="s">
        <v>51</v>
      </c>
      <c r="B28" s="34">
        <f>IF(ISERROR(TER_handel_ele_kWh/1000),0,TER_handel_ele_kWh/1000)</f>
        <v>1584.1484347763299</v>
      </c>
      <c r="C28" s="40">
        <f>IF(ISERROR(B28*3.6/1000000/'E Balans VL '!Z13*100),0,B28*3.6/1000000/'E Balans VL '!Z13*100)</f>
        <v>4.4372845460856285E-2</v>
      </c>
      <c r="D28" s="236" t="s">
        <v>691</v>
      </c>
      <c r="F28" s="6"/>
    </row>
    <row r="29" spans="1:18">
      <c r="A29" s="231" t="s">
        <v>50</v>
      </c>
      <c r="B29" s="34">
        <f>IF(ISERROR(TER_gezond_ele_kWh/1000),0,TER_gezond_ele_kWh/1000)</f>
        <v>157.23189695643401</v>
      </c>
      <c r="C29" s="40">
        <f>IF(ISERROR(B29*3.6/1000000/'E Balans VL '!Z10*100),0,B29*3.6/1000000/'E Balans VL '!Z10*100)</f>
        <v>2.0114714121807237E-2</v>
      </c>
      <c r="D29" s="236" t="s">
        <v>691</v>
      </c>
      <c r="F29" s="6"/>
    </row>
    <row r="30" spans="1:18">
      <c r="A30" s="231" t="s">
        <v>49</v>
      </c>
      <c r="B30" s="34">
        <f>IF(ISERROR(TER_ander_ele_kWh/1000),0,TER_ander_ele_kWh/1000)</f>
        <v>1444.07329332377</v>
      </c>
      <c r="C30" s="40">
        <f>IF(ISERROR(B30*3.6/1000000/'E Balans VL '!Z14*100),0,B30*3.6/1000000/'E Balans VL '!Z14*100)</f>
        <v>0.10800451436648731</v>
      </c>
      <c r="D30" s="236" t="s">
        <v>691</v>
      </c>
      <c r="F30" s="6"/>
    </row>
    <row r="31" spans="1:18">
      <c r="A31" s="231" t="s">
        <v>54</v>
      </c>
      <c r="B31" s="34">
        <f>IF(ISERROR(TER_onderwijs_ele_kWh/1000),0,TER_onderwijs_ele_kWh/1000)</f>
        <v>31.8588321112464</v>
      </c>
      <c r="C31" s="40">
        <f>IF(ISERROR(B31*3.6/1000000/'E Balans VL '!Z11*100),0,B31*3.6/1000000/'E Balans VL '!Z11*100)</f>
        <v>6.7270336680255571E-3</v>
      </c>
      <c r="D31" s="236" t="s">
        <v>691</v>
      </c>
    </row>
    <row r="32" spans="1:18">
      <c r="A32" s="231" t="s">
        <v>255</v>
      </c>
      <c r="B32" s="34">
        <f>IF(ISERROR(TER_rest_ele_kWh/1000),0,TER_rest_ele_kWh/1000)</f>
        <v>5040.1810183099306</v>
      </c>
      <c r="C32" s="40">
        <f>IF(ISERROR(B32*3.6/1000000/'E Balans VL '!Z8*100),0,B32*3.6/1000000/'E Balans VL '!Z8*100)</f>
        <v>4.1520668826355724E-2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48033.8540605378</v>
      </c>
      <c r="C5" s="18">
        <f>IF(ISERROR('Eigen informatie GS &amp; warmtenet'!B59),0,'Eigen informatie GS &amp; warmtenet'!B59)</f>
        <v>0</v>
      </c>
      <c r="D5" s="31">
        <f>SUM(D6:D15)</f>
        <v>36635.710095680093</v>
      </c>
      <c r="E5" s="18">
        <f>SUM(E6:E15)</f>
        <v>427.36052513693238</v>
      </c>
      <c r="F5" s="18">
        <f>SUM(F6:F15)</f>
        <v>10348.724189293624</v>
      </c>
      <c r="G5" s="19"/>
      <c r="H5" s="18"/>
      <c r="I5" s="18"/>
      <c r="J5" s="18">
        <f>SUM(J6:J15)</f>
        <v>233.51322970589422</v>
      </c>
      <c r="K5" s="18"/>
      <c r="L5" s="18"/>
      <c r="M5" s="18"/>
      <c r="N5" s="18">
        <f>SUM(N6:N15)</f>
        <v>1545.1593805265104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36.551935019283199</v>
      </c>
      <c r="C8" s="34"/>
      <c r="D8" s="38">
        <f>IF( ISERROR(IND_metaal_Gas_kWH/1000),0,IND_metaal_Gas_kWH/1000)*0.902</f>
        <v>0</v>
      </c>
      <c r="E8" s="34">
        <f>C30*'E Balans VL '!I18/100/3.6*1000000</f>
        <v>0.33287188511034321</v>
      </c>
      <c r="F8" s="34">
        <f>C30*'E Balans VL '!L18/100/3.6*1000000+C30*'E Balans VL '!N18/100/3.6*1000000</f>
        <v>4.8209226488813286</v>
      </c>
      <c r="G8" s="35"/>
      <c r="H8" s="34"/>
      <c r="I8" s="34"/>
      <c r="J8" s="41">
        <f>C30*'E Balans VL '!D18/100/3.6*1000000+C30*'E Balans VL '!E18/100/3.6*1000000</f>
        <v>0.59939866281764387</v>
      </c>
      <c r="K8" s="34"/>
      <c r="L8" s="34"/>
      <c r="M8" s="34"/>
      <c r="N8" s="34">
        <f>C30*'E Balans VL '!Y18/100/3.6*1000000</f>
        <v>0.12561448044233711</v>
      </c>
      <c r="O8" s="34"/>
      <c r="P8" s="34"/>
      <c r="R8" s="33"/>
    </row>
    <row r="9" spans="1:18">
      <c r="A9" s="6" t="s">
        <v>32</v>
      </c>
      <c r="B9" s="38">
        <f t="shared" si="0"/>
        <v>1516.56761463624</v>
      </c>
      <c r="C9" s="34"/>
      <c r="D9" s="38">
        <f>IF( ISERROR(IND_andere_gas_kWh/1000),0,IND_andere_gas_kWh/1000)*0.902</f>
        <v>209.50172538138489</v>
      </c>
      <c r="E9" s="34">
        <f>C31*'E Balans VL '!I19/100/3.6*1000000</f>
        <v>8.7659874448820414</v>
      </c>
      <c r="F9" s="34">
        <f>C31*'E Balans VL '!L19/100/3.6*1000000+C31*'E Balans VL '!N19/100/3.6*1000000</f>
        <v>1206.5025117890441</v>
      </c>
      <c r="G9" s="35"/>
      <c r="H9" s="34"/>
      <c r="I9" s="34"/>
      <c r="J9" s="41">
        <f>C31*'E Balans VL '!D19/100/3.6*1000000+C31*'E Balans VL '!E19/100/3.6*1000000</f>
        <v>0.14345045078865507</v>
      </c>
      <c r="K9" s="34"/>
      <c r="L9" s="34"/>
      <c r="M9" s="34"/>
      <c r="N9" s="34">
        <f>C31*'E Balans VL '!Y19/100/3.6*1000000</f>
        <v>114.9029474923736</v>
      </c>
      <c r="O9" s="34"/>
      <c r="P9" s="34"/>
      <c r="R9" s="33"/>
    </row>
    <row r="10" spans="1:18">
      <c r="A10" s="6" t="s">
        <v>40</v>
      </c>
      <c r="B10" s="38">
        <f t="shared" si="0"/>
        <v>175.12012140209501</v>
      </c>
      <c r="C10" s="34"/>
      <c r="D10" s="38">
        <f>IF( ISERROR(IND_voed_gas_kWh/1000),0,IND_voed_gas_kWh/1000)*0.902</f>
        <v>0</v>
      </c>
      <c r="E10" s="34">
        <f>C32*'E Balans VL '!I20/100/3.6*1000000</f>
        <v>1.721888934118432</v>
      </c>
      <c r="F10" s="34">
        <f>C32*'E Balans VL '!L20/100/3.6*1000000+C32*'E Balans VL '!N20/100/3.6*1000000</f>
        <v>19.449375262373124</v>
      </c>
      <c r="G10" s="35"/>
      <c r="H10" s="34"/>
      <c r="I10" s="34"/>
      <c r="J10" s="41">
        <f>C32*'E Balans VL '!D20/100/3.6*1000000+C32*'E Balans VL '!E20/100/3.6*1000000</f>
        <v>6.902278981970898E-4</v>
      </c>
      <c r="K10" s="34"/>
      <c r="L10" s="34"/>
      <c r="M10" s="34"/>
      <c r="N10" s="34">
        <f>C32*'E Balans VL '!Y20/100/3.6*1000000</f>
        <v>2.5931170720193113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18.0188729712828</v>
      </c>
      <c r="C13" s="34"/>
      <c r="D13" s="38">
        <f>IF( ISERROR(IND_papier_gas_kWh/1000),0,IND_papier_gas_kWh/1000)*0.902</f>
        <v>0</v>
      </c>
      <c r="E13" s="34">
        <f>C35*'E Balans VL '!I23/100/3.6*1000000</f>
        <v>0.61374893907861017</v>
      </c>
      <c r="F13" s="34">
        <f>C35*'E Balans VL '!L23/100/3.6*1000000+C35*'E Balans VL '!N23/100/3.6*1000000</f>
        <v>2.9762949210103136</v>
      </c>
      <c r="G13" s="35"/>
      <c r="H13" s="34"/>
      <c r="I13" s="34"/>
      <c r="J13" s="41">
        <f>C35*'E Balans VL '!D23/100/3.6*1000000+C35*'E Balans VL '!E23/100/3.6*1000000</f>
        <v>0</v>
      </c>
      <c r="K13" s="34"/>
      <c r="L13" s="34"/>
      <c r="M13" s="34"/>
      <c r="N13" s="34">
        <f>C35*'E Balans VL '!Y23/100/3.6*1000000</f>
        <v>6.6304620247188959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46287.595516508896</v>
      </c>
      <c r="C15" s="34"/>
      <c r="D15" s="38">
        <f>IF( ISERROR(IND_rest_gas_kWh/1000),0,IND_rest_gas_kWh/1000)*0.902</f>
        <v>36426.208370298707</v>
      </c>
      <c r="E15" s="34">
        <f>C37*'E Balans VL '!I15/100/3.6*1000000</f>
        <v>415.92602793374294</v>
      </c>
      <c r="F15" s="34">
        <f>C37*'E Balans VL '!L15/100/3.6*1000000+C37*'E Balans VL '!N15/100/3.6*1000000</f>
        <v>9114.9750846723146</v>
      </c>
      <c r="G15" s="35"/>
      <c r="H15" s="34"/>
      <c r="I15" s="34"/>
      <c r="J15" s="41">
        <f>C37*'E Balans VL '!D15/100/3.6*1000000+C37*'E Balans VL '!E15/100/3.6*1000000</f>
        <v>232.76969036438973</v>
      </c>
      <c r="K15" s="34"/>
      <c r="L15" s="34"/>
      <c r="M15" s="34"/>
      <c r="N15" s="34">
        <f>C37*'E Balans VL '!Y15/100/3.6*1000000</f>
        <v>1420.9072394569562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48033.8540605378</v>
      </c>
      <c r="C18" s="22">
        <f>C5+C16</f>
        <v>0</v>
      </c>
      <c r="D18" s="22">
        <f>MAX((D5+D16),0)</f>
        <v>36635.710095680093</v>
      </c>
      <c r="E18" s="22">
        <f>MAX((E5+E16),0)</f>
        <v>427.36052513693238</v>
      </c>
      <c r="F18" s="22">
        <f>MAX((F5+F16),0)</f>
        <v>10348.724189293624</v>
      </c>
      <c r="G18" s="22"/>
      <c r="H18" s="22"/>
      <c r="I18" s="22"/>
      <c r="J18" s="22">
        <f>MAX((J5+J16),0)</f>
        <v>233.51322970589422</v>
      </c>
      <c r="K18" s="22"/>
      <c r="L18" s="22">
        <f>MAX((L5+L16),0)</f>
        <v>0</v>
      </c>
      <c r="M18" s="22"/>
      <c r="N18" s="22">
        <f>MAX((N5+N16),0)</f>
        <v>1545.1593805265104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0.21217978395590362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10191.812777134313</v>
      </c>
      <c r="C22" s="24">
        <f ca="1">C18*C20</f>
        <v>0</v>
      </c>
      <c r="D22" s="24">
        <f>D18*D20</f>
        <v>7400.4134393273789</v>
      </c>
      <c r="E22" s="24">
        <f>E18*E20</f>
        <v>97.010839206083659</v>
      </c>
      <c r="F22" s="24">
        <f>F18*F20</f>
        <v>2763.1093585413978</v>
      </c>
      <c r="G22" s="24"/>
      <c r="H22" s="24"/>
      <c r="I22" s="24"/>
      <c r="J22" s="24">
        <f>J18*J20</f>
        <v>82.663683315886544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36.551935019283199</v>
      </c>
      <c r="C30" s="40">
        <f>IF(ISERROR(B30*3.6/1000000/'E Balans VL '!Z18*100),0,B30*3.6/1000000/'E Balans VL '!Z18*100)</f>
        <v>2.033870763130702E-3</v>
      </c>
      <c r="D30" s="236" t="s">
        <v>691</v>
      </c>
    </row>
    <row r="31" spans="1:18">
      <c r="A31" s="6" t="s">
        <v>32</v>
      </c>
      <c r="B31" s="38">
        <f>IF( ISERROR(IND_ander_ele_kWh/1000),0,IND_ander_ele_kWh/1000)</f>
        <v>1516.56761463624</v>
      </c>
      <c r="C31" s="40">
        <f>IF(ISERROR(B31*3.6/1000000/'E Balans VL '!Z19*100),0,B31*3.6/1000000/'E Balans VL '!Z19*100)</f>
        <v>7.0501245438792923E-2</v>
      </c>
      <c r="D31" s="236" t="s">
        <v>691</v>
      </c>
    </row>
    <row r="32" spans="1:18">
      <c r="A32" s="171" t="s">
        <v>40</v>
      </c>
      <c r="B32" s="38">
        <f>IF( ISERROR(IND_voed_ele_kWh/1000),0,IND_voed_ele_kWh/1000)</f>
        <v>175.12012140209501</v>
      </c>
      <c r="C32" s="40">
        <f>IF(ISERROR(B32*3.6/1000000/'E Balans VL '!Z20*100),0,B32*3.6/1000000/'E Balans VL '!Z20*100)</f>
        <v>6.1901426215008049E-3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18.0188729712828</v>
      </c>
      <c r="C35" s="40">
        <f>IF(ISERROR(B35*3.6/1000000/'E Balans VL '!Z22*100),0,B35*3.6/1000000/'E Balans VL '!Z22*100)</f>
        <v>3.6212853521762631E-3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46287.595516508896</v>
      </c>
      <c r="C37" s="40">
        <f>IF(ISERROR(B37*3.6/1000000/'E Balans VL '!Z15*100),0,B37*3.6/1000000/'E Balans VL '!Z15*100)</f>
        <v>0.34953972326786381</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723.37959114672788</v>
      </c>
      <c r="C5" s="18">
        <f>'Eigen informatie GS &amp; warmtenet'!B60</f>
        <v>0</v>
      </c>
      <c r="D5" s="31">
        <f>IF(ISERROR(SUM(LB_lb_gas_kWh,LB_rest_gas_kWh)/1000),0,SUM(LB_lb_gas_kWh,LB_rest_gas_kWh)/1000)*0.902</f>
        <v>57.173693614417594</v>
      </c>
      <c r="E5" s="18">
        <f>B17*'E Balans VL '!I25/3.6*1000000/100</f>
        <v>6.8147204288272576</v>
      </c>
      <c r="F5" s="18">
        <f>B17*('E Balans VL '!L25/3.6*1000000+'E Balans VL '!N25/3.6*1000000)/100</f>
        <v>2360.6276745144669</v>
      </c>
      <c r="G5" s="19"/>
      <c r="H5" s="18"/>
      <c r="I5" s="18"/>
      <c r="J5" s="18">
        <f>('E Balans VL '!D25+'E Balans VL '!E25)/3.6*1000000*landbouw!B17/100</f>
        <v>89.48557394250571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723.37959114672788</v>
      </c>
      <c r="C8" s="22">
        <f>C5+C6</f>
        <v>0</v>
      </c>
      <c r="D8" s="22">
        <f>MAX((D5+D6),0)</f>
        <v>57.173693614417594</v>
      </c>
      <c r="E8" s="22">
        <f>MAX((E5+E6),0)</f>
        <v>6.8147204288272576</v>
      </c>
      <c r="F8" s="22">
        <f>MAX((F5+F6),0)</f>
        <v>2360.6276745144669</v>
      </c>
      <c r="G8" s="22"/>
      <c r="H8" s="22"/>
      <c r="I8" s="22"/>
      <c r="J8" s="22">
        <f>MAX((J5+J6),0)</f>
        <v>89.48557394250571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0.21217978395590362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153.48652536762262</v>
      </c>
      <c r="C12" s="24">
        <f ca="1">C8*C10</f>
        <v>0</v>
      </c>
      <c r="D12" s="24">
        <f>D8*D10</f>
        <v>11.549086110112356</v>
      </c>
      <c r="E12" s="24">
        <f>E8*E10</f>
        <v>1.5469415373437876</v>
      </c>
      <c r="F12" s="24">
        <f>F8*F10</f>
        <v>630.2875890953627</v>
      </c>
      <c r="G12" s="24"/>
      <c r="H12" s="24"/>
      <c r="I12" s="24"/>
      <c r="J12" s="24">
        <f>J8*J10</f>
        <v>31.677893175647018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9.7934037404914187E-2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10.011346102342239</v>
      </c>
      <c r="C26" s="246">
        <f>B26*'GWP N2O_CH4'!B5</f>
        <v>210.23826814918704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0.56186160242340111</v>
      </c>
      <c r="C27" s="246">
        <f>B27*'GWP N2O_CH4'!B5</f>
        <v>11.799093650891423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0.17371814855465184</v>
      </c>
      <c r="C28" s="246">
        <f>B28*'GWP N2O_CH4'!B4</f>
        <v>53.852626051942067</v>
      </c>
      <c r="D28" s="51"/>
    </row>
    <row r="29" spans="1:4">
      <c r="A29" s="42" t="s">
        <v>272</v>
      </c>
      <c r="B29" s="246">
        <f>B34*'ha_N2O bodem landbouw'!B4</f>
        <v>5.0355281118302466</v>
      </c>
      <c r="C29" s="246">
        <f>B29*'GWP N2O_CH4'!B4</f>
        <v>1561.0137146673765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1.3594340704255342E-3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2.8228904114796984E-5</v>
      </c>
      <c r="C5" s="435" t="s">
        <v>210</v>
      </c>
      <c r="D5" s="420">
        <f>SUM(D6:D11)</f>
        <v>3.3725491148631022E-5</v>
      </c>
      <c r="E5" s="420">
        <f>SUM(E6:E11)</f>
        <v>2.3748492349055291E-3</v>
      </c>
      <c r="F5" s="433" t="s">
        <v>210</v>
      </c>
      <c r="G5" s="420">
        <f>SUM(G6:G11)</f>
        <v>0.49201119103851787</v>
      </c>
      <c r="H5" s="420">
        <f>SUM(H6:H11)</f>
        <v>8.3362049859086726E-2</v>
      </c>
      <c r="I5" s="435" t="s">
        <v>210</v>
      </c>
      <c r="J5" s="435" t="s">
        <v>210</v>
      </c>
      <c r="K5" s="435" t="s">
        <v>210</v>
      </c>
      <c r="L5" s="435" t="s">
        <v>210</v>
      </c>
      <c r="M5" s="420">
        <f>SUM(M6:M11)</f>
        <v>2.5710796670371631E-2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1.1448832564195604E-5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1.3334243168466154E-5</v>
      </c>
      <c r="E6" s="423">
        <f>vkm_GW_PW*SUMIFS(TableVerdeelsleutelVkm[LPG],TableVerdeelsleutelVkm[Voertuigtype],"Lichte voertuigen")*SUMIFS(TableECFTransport[EnergieConsumptieFactor (PJ per km)],TableECFTransport[Index],CONCATENATE($A6,"_LPG_LPG"))</f>
        <v>8.6509143168095684E-4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0.13497052789872968</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3.2527875869024253E-2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7.4955644768835835E-3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2.9771113572552483E-7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4.9247991991149064E-2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1.3214991172121513E-6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2.1913749875954588E-3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3.3436235334630816E-6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6.3601472821654472E-6</v>
      </c>
      <c r="E8" s="423">
        <f>vkm_NGW_PW*SUMIFS(TableVerdeelsleutelVkm[LPG],TableVerdeelsleutelVkm[Voertuigtype],"Lichte voertuigen")*SUMIFS(TableECFTransport[EnergieConsumptieFactor (PJ per km)],TableECFTransport[Index],CONCATENATE($A8,"_LPG_LPG"))</f>
        <v>3.9095164397888124E-4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5.742210232340398E-2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1.4789620646382272E-2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3.2324836985007984E-3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1.2229330354416212E-8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2.5941862295895618E-3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6.5522569620814834E-8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1.1543263721608711E-4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1.2579997874523896E-5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1.403110069799942E-5</v>
      </c>
      <c r="E10" s="423">
        <f>vkm_SW_PW*SUMIFS(TableVerdeelsleutelVkm[LPG],TableVerdeelsleutelVkm[Voertuigtype],"Lichte voertuigen")*SUMIFS(TableECFTransport[EnergieConsumptieFactor (PJ per km)],TableECFTransport[Index],CONCATENATE($A10,"_LPG_LPG"))</f>
        <v>1.118806159245691E-3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0.16309279479805031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3.6040669428065518E-2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8.9077871816653463E-3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5.4650967653446141E-7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8.4683587797595244E-2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2.4968939278528862E-6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3.7681536885103553E-3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7.8413622541102734</v>
      </c>
      <c r="C14" s="22"/>
      <c r="D14" s="22">
        <f t="shared" ref="D14:M14" si="0">((D5)*10^9/3600)+D12</f>
        <v>9.3681919857308404</v>
      </c>
      <c r="E14" s="22">
        <f t="shared" si="0"/>
        <v>659.68034302931369</v>
      </c>
      <c r="F14" s="22"/>
      <c r="G14" s="22">
        <f t="shared" si="0"/>
        <v>136669.77528847719</v>
      </c>
      <c r="H14" s="22">
        <f t="shared" si="0"/>
        <v>23156.124960857422</v>
      </c>
      <c r="I14" s="22"/>
      <c r="J14" s="22"/>
      <c r="K14" s="22"/>
      <c r="L14" s="22"/>
      <c r="M14" s="22">
        <f t="shared" si="0"/>
        <v>7141.8879639921197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0.21217978395590362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1.6637785489970953</v>
      </c>
      <c r="C18" s="24"/>
      <c r="D18" s="24">
        <f t="shared" ref="D18:M18" si="1">D14*D16</f>
        <v>1.8923747811176299</v>
      </c>
      <c r="E18" s="24">
        <f t="shared" si="1"/>
        <v>149.74743786765421</v>
      </c>
      <c r="F18" s="24"/>
      <c r="G18" s="24">
        <f t="shared" si="1"/>
        <v>36490.830002023409</v>
      </c>
      <c r="H18" s="24">
        <f t="shared" si="1"/>
        <v>5765.8751152534978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3.1146059914355178E-5</v>
      </c>
      <c r="C50" s="316">
        <f t="shared" ref="C50:P50" si="2">SUM(C51:C52)</f>
        <v>0</v>
      </c>
      <c r="D50" s="316">
        <f t="shared" si="2"/>
        <v>0</v>
      </c>
      <c r="E50" s="316">
        <f t="shared" si="2"/>
        <v>0</v>
      </c>
      <c r="F50" s="316">
        <f t="shared" si="2"/>
        <v>0</v>
      </c>
      <c r="G50" s="316">
        <f t="shared" si="2"/>
        <v>6.2121430564105913E-3</v>
      </c>
      <c r="H50" s="316">
        <f t="shared" si="2"/>
        <v>0</v>
      </c>
      <c r="I50" s="316">
        <f t="shared" si="2"/>
        <v>0</v>
      </c>
      <c r="J50" s="316">
        <f t="shared" si="2"/>
        <v>0</v>
      </c>
      <c r="K50" s="316">
        <f t="shared" si="2"/>
        <v>0</v>
      </c>
      <c r="L50" s="316">
        <f t="shared" si="2"/>
        <v>0</v>
      </c>
      <c r="M50" s="316">
        <f t="shared" si="2"/>
        <v>2.7457010678959612E-4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3.1146059914355178E-5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6.2121430564105913E-3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2.7457010678959612E-4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8.6516833095431043</v>
      </c>
      <c r="C54" s="22">
        <f t="shared" ref="C54:P54" si="3">(C50)*10^9/3600</f>
        <v>0</v>
      </c>
      <c r="D54" s="22">
        <f t="shared" si="3"/>
        <v>0</v>
      </c>
      <c r="E54" s="22">
        <f t="shared" si="3"/>
        <v>0</v>
      </c>
      <c r="F54" s="22">
        <f t="shared" si="3"/>
        <v>0</v>
      </c>
      <c r="G54" s="22">
        <f t="shared" si="3"/>
        <v>1725.5952934473864</v>
      </c>
      <c r="H54" s="22">
        <f t="shared" si="3"/>
        <v>0</v>
      </c>
      <c r="I54" s="22">
        <f t="shared" si="3"/>
        <v>0</v>
      </c>
      <c r="J54" s="22">
        <f t="shared" si="3"/>
        <v>0</v>
      </c>
      <c r="K54" s="22">
        <f t="shared" si="3"/>
        <v>0</v>
      </c>
      <c r="L54" s="22">
        <f t="shared" si="3"/>
        <v>0</v>
      </c>
      <c r="M54" s="22">
        <f t="shared" si="3"/>
        <v>76.269474108221146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0.21217978395590362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1.835712295473753</v>
      </c>
      <c r="C58" s="24">
        <f t="shared" ref="C58:P58" ca="1" si="4">C54*C56</f>
        <v>0</v>
      </c>
      <c r="D58" s="24">
        <f t="shared" si="4"/>
        <v>0</v>
      </c>
      <c r="E58" s="24">
        <f t="shared" si="4"/>
        <v>0</v>
      </c>
      <c r="F58" s="24">
        <f t="shared" si="4"/>
        <v>0</v>
      </c>
      <c r="G58" s="24">
        <f t="shared" si="4"/>
        <v>460.73394335045219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265</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3498.0941690985828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45</v>
      </c>
      <c r="C8" s="546">
        <f>B48</f>
        <v>52.941176470588239</v>
      </c>
      <c r="D8" s="969"/>
      <c r="E8" s="969">
        <f>E48</f>
        <v>0</v>
      </c>
      <c r="F8" s="970"/>
      <c r="G8" s="547"/>
      <c r="H8" s="969">
        <f>I48</f>
        <v>0</v>
      </c>
      <c r="I8" s="969">
        <f>G48+F48</f>
        <v>0</v>
      </c>
      <c r="J8" s="969">
        <f>H48+D48+C48</f>
        <v>0</v>
      </c>
      <c r="K8" s="969"/>
      <c r="L8" s="969"/>
      <c r="M8" s="969"/>
      <c r="N8" s="548"/>
      <c r="O8" s="549">
        <f>C8*$C$12+D8*$D$12+E8*$E$12+F8*$F$12+G8*$G$12+H8*$H$12+I8*$I$12+J8*$J$12</f>
        <v>10.694117647058825</v>
      </c>
      <c r="P8" s="1243"/>
      <c r="Q8" s="1244"/>
      <c r="S8" s="1006"/>
      <c r="T8" s="1264"/>
      <c r="U8" s="1264"/>
    </row>
    <row r="9" spans="1:21" s="534" customFormat="1" ht="17.45" customHeight="1" thickBot="1">
      <c r="A9" s="550" t="s">
        <v>243</v>
      </c>
      <c r="B9" s="971">
        <f>N36+'Eigen informatie GS &amp; warmtenet'!B12</f>
        <v>45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3853.0941690985828</v>
      </c>
      <c r="C10" s="558">
        <f t="shared" ref="C10:L10" si="0">SUM(C8:C9)</f>
        <v>52.941176470588239</v>
      </c>
      <c r="D10" s="558">
        <f t="shared" si="0"/>
        <v>0</v>
      </c>
      <c r="E10" s="558">
        <f t="shared" si="0"/>
        <v>0</v>
      </c>
      <c r="F10" s="558">
        <f t="shared" si="0"/>
        <v>0</v>
      </c>
      <c r="G10" s="558">
        <f t="shared" si="0"/>
        <v>0</v>
      </c>
      <c r="H10" s="558">
        <f t="shared" si="0"/>
        <v>0</v>
      </c>
      <c r="I10" s="558">
        <f t="shared" si="0"/>
        <v>0</v>
      </c>
      <c r="J10" s="558">
        <f t="shared" si="0"/>
        <v>112.5</v>
      </c>
      <c r="K10" s="558">
        <f t="shared" si="0"/>
        <v>0</v>
      </c>
      <c r="L10" s="558">
        <f t="shared" si="0"/>
        <v>0</v>
      </c>
      <c r="M10" s="973"/>
      <c r="N10" s="973"/>
      <c r="O10" s="559">
        <f>SUM(O4:O9)</f>
        <v>10.694117647058825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64.285714285714292</v>
      </c>
      <c r="C17" s="570">
        <f>B49</f>
        <v>75.630252100840352</v>
      </c>
      <c r="D17" s="571"/>
      <c r="E17" s="571">
        <f>E49</f>
        <v>0</v>
      </c>
      <c r="F17" s="572"/>
      <c r="G17" s="573"/>
      <c r="H17" s="570">
        <f>I49</f>
        <v>0</v>
      </c>
      <c r="I17" s="571">
        <f>G49+F49</f>
        <v>0</v>
      </c>
      <c r="J17" s="571">
        <f>H49+D49+C49</f>
        <v>0</v>
      </c>
      <c r="K17" s="571"/>
      <c r="L17" s="571"/>
      <c r="M17" s="571"/>
      <c r="N17" s="976"/>
      <c r="O17" s="574">
        <f>C17*$C$22+E17*$E$22+H17*$H$22+I17*$I$22+J17*$J$22+D17*$D$22+F17*$F$22+G17*$G$22+K17*$K$22+L17*$L$22</f>
        <v>15.277310924369752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64.285714285714292</v>
      </c>
      <c r="C20" s="557">
        <f>SUM(C17:C19)</f>
        <v>75.630252100840352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15.277310924369752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24094</v>
      </c>
      <c r="C28" s="777">
        <v>3118</v>
      </c>
      <c r="D28" s="630" t="s">
        <v>965</v>
      </c>
      <c r="E28" s="629" t="s">
        <v>966</v>
      </c>
      <c r="F28" s="629" t="s">
        <v>967</v>
      </c>
      <c r="G28" s="629" t="s">
        <v>968</v>
      </c>
      <c r="H28" s="629" t="s">
        <v>969</v>
      </c>
      <c r="I28" s="629" t="s">
        <v>966</v>
      </c>
      <c r="J28" s="776">
        <v>38718</v>
      </c>
      <c r="K28" s="776">
        <v>38991</v>
      </c>
      <c r="L28" s="629" t="s">
        <v>970</v>
      </c>
      <c r="M28" s="629">
        <v>10</v>
      </c>
      <c r="N28" s="629">
        <v>45</v>
      </c>
      <c r="O28" s="629">
        <v>64.285714285714292</v>
      </c>
      <c r="P28" s="629">
        <v>128.57142857142858</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10</v>
      </c>
      <c r="N29" s="587">
        <f>SUM(N28:N28)</f>
        <v>45</v>
      </c>
      <c r="O29" s="587">
        <f>SUM(O28:O28)</f>
        <v>64.285714285714292</v>
      </c>
      <c r="P29" s="587">
        <f>SUM(P28:P28)</f>
        <v>128.57142857142858</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10</v>
      </c>
      <c r="N31" s="587">
        <f ca="1">SUMIF($Z$28:AD28,"tertiair",N28:N28)</f>
        <v>45</v>
      </c>
      <c r="O31" s="587">
        <f ca="1">SUMIF($Z$28:AE28,"tertiair",O28:O28)</f>
        <v>64.285714285714292</v>
      </c>
      <c r="P31" s="587">
        <f ca="1">SUMIF($Z$28:AF28,"tertiair",P28:P28)</f>
        <v>128.57142857142858</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24094</v>
      </c>
      <c r="C35" s="777">
        <v>3118</v>
      </c>
      <c r="D35" s="632" t="s">
        <v>965</v>
      </c>
      <c r="E35" s="632" t="s">
        <v>966</v>
      </c>
      <c r="F35" s="632" t="s">
        <v>971</v>
      </c>
      <c r="G35" s="632" t="s">
        <v>972</v>
      </c>
      <c r="H35" s="632" t="s">
        <v>973</v>
      </c>
      <c r="I35" s="632" t="s">
        <v>966</v>
      </c>
      <c r="J35" s="776">
        <v>38718</v>
      </c>
      <c r="K35" s="776">
        <v>38991</v>
      </c>
      <c r="L35" s="632" t="s">
        <v>974</v>
      </c>
      <c r="M35" s="632">
        <v>10</v>
      </c>
      <c r="N35" s="632">
        <v>45</v>
      </c>
      <c r="O35" s="632">
        <v>0</v>
      </c>
      <c r="P35" s="632">
        <v>0</v>
      </c>
      <c r="Q35" s="632">
        <v>0</v>
      </c>
      <c r="R35" s="632">
        <v>0</v>
      </c>
      <c r="S35" s="632">
        <v>0</v>
      </c>
      <c r="T35" s="632">
        <v>0</v>
      </c>
      <c r="U35" s="632">
        <v>0</v>
      </c>
      <c r="V35" s="632">
        <v>112.5</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10</v>
      </c>
      <c r="N36" s="587">
        <f>SUM(N35:N35)</f>
        <v>45</v>
      </c>
      <c r="O36" s="587">
        <f>SUM(O35:O35)</f>
        <v>0</v>
      </c>
      <c r="P36" s="587">
        <f>SUM(P35:P35)</f>
        <v>0</v>
      </c>
      <c r="Q36" s="587">
        <f>SUM(Q35:Q35)</f>
        <v>0</v>
      </c>
      <c r="R36" s="587">
        <f>SUM(R35:R35)</f>
        <v>0</v>
      </c>
      <c r="S36" s="587">
        <f>SUM(S35:S35)</f>
        <v>0</v>
      </c>
      <c r="T36" s="587">
        <f>SUM(T35:T35)</f>
        <v>0</v>
      </c>
      <c r="U36" s="587">
        <f>SUM(U35:U35)</f>
        <v>0</v>
      </c>
      <c r="V36" s="587">
        <f>SUM(V35:V35)</f>
        <v>112.5</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10</v>
      </c>
      <c r="N38" s="587">
        <f>SUMIF($Z$35:$Z$36,"tertiair",N35:N36)</f>
        <v>45</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112.5</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52.941176470588239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75.630252100840352</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2021-06-29T16:41:58Z</dcterms:modified>
</cp:coreProperties>
</file>