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O9" i="18" s="1"/>
  <c r="J9" i="18"/>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I48" i="18" l="1"/>
  <c r="H8" i="18" s="1"/>
  <c r="H10" i="18" s="1"/>
  <c r="F48" i="18"/>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<sst xmlns="http://schemas.openxmlformats.org/spreadsheetml/2006/main" count="2574" uniqueCount="972">
  <si>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</si>
  <si>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</si>
  <si>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</si>
  <si>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</si>
  <si>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</si>
  <si>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</si>
  <si>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</si>
  <si>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</si>
  <si>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</si>
  <si>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</si>
  <si>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</si>
  <si>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</si>
  <si>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</si>
  <si>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</si>
  <si>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</si>
  <si>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</si>
  <si>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</si>
  <si>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</si>
  <si>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</si>
  <si>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</si>
  <si>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</si>
  <si>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</si>
  <si>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</si>
  <si>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</si>
  <si>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</si>
  <si>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</si>
  <si>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</si>
  <si>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</si>
  <si>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</si>
  <si>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</si>
  <si>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</si>
  <si>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</si>
  <si>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</si>
  <si>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</si>
  <si>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</si>
  <si>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</si>
  <si>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</si>
  <si>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</si>
  <si>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</si>
  <si>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</si>
  <si>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</si>
  <si>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</si>
  <si>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</si>
  <si>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</si>
  <si>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</si>
  <si>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</si>
  <si>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</si>
  <si>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</si>
  <si>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</si>
  <si>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</si>
  <si>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</si>
  <si>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</si>
  <si>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</si>
  <si>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</si>
  <si>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</si>
  <si>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</si>
  <si>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</si>
  <si>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</si>
  <si>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</si>
  <si>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</si>
  <si>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</si>
  <si>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</si>
  <si>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</si>
  <si>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</si>
  <si>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</si>
  <si>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</si>
  <si>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</si>
  <si>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</si>
  <si>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</si>
  <si>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</si>
  <si>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</si>
  <si>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</si>
  <si>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</si>
  <si>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</si>
  <si>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</si>
  <si>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</si>
  <si>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</si>
  <si>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</si>
  <si>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</si>
  <si>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</si>
  <si>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</si>
  <si>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</si>
  <si>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</si>
  <si>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</si>
  <si>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</si>
  <si>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</si>
  <si>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</si>
  <si>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</si>
  <si>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</si>
  <si>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</si>
  <si>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</si>
  <si>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</si>
  <si>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</si>
  <si>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</si>
  <si>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</si>
  <si>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</si>
  <si>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</si>
  <si>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</si>
  <si>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</si>
  <si>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</si>
  <si>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</si>
  <si>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</si>
  <si>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</si>
  <si>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</si>
  <si>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</si>
  <si>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</si>
  <si>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</si>
  <si>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</si>
  <si>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</si>
  <si>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</si>
  <si>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</si>
  <si>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</si>
  <si>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</si>
  <si>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</si>
  <si>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</si>
  <si>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</si>
  <si>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</si>
  <si>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</si>
  <si>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</si>
  <si>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</si>
  <si>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</si>
  <si>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</si>
  <si>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</si>
  <si>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</si>
  <si>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</si>
  <si>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</si>
  <si>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</si>
  <si>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</si>
  <si>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</si>
  <si>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</si>
  <si>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</si>
  <si>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</si>
  <si>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</si>
  <si>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</si>
  <si>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</si>
  <si>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</si>
  <si>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</si>
  <si>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</si>
  <si>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</si>
  <si>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</si>
  <si>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</si>
  <si>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</si>
  <si>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</si>
  <si>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</si>
  <si>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</si>
  <si>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</si>
  <si>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</si>
  <si>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</si>
  <si>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</si>
  <si>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</si>
  <si>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</si>
  <si>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</si>
  <si>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</si>
  <si>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</si>
  <si>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</si>
  <si>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</si>
  <si>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</si>
  <si>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</si>
  <si>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</si>
  <si>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</si>
  <si>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</si>
  <si>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</si>
  <si>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</si>
  <si>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</si>
  <si>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</si>
  <si>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</si>
  <si>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</si>
  <si>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</si>
  <si>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</si>
  <si>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</si>
  <si>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</si>
  <si>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</si>
  <si>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</si>
  <si>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</si>
  <si>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</si>
  <si>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</si>
  <si>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</si>
  <si>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</si>
  <si>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</si>
  <si>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</si>
  <si>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</si>
  <si>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</si>
  <si>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</si>
  <si>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</si>
  <si>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</si>
  <si>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</si>
  <si>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</si>
  <si>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</si>
  <si>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</si>
  <si>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</si>
  <si>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</si>
  <si>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</si>
  <si>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</si>
  <si>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</si>
  <si>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</si>
  <si>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</si>
  <si>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</si>
  <si>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</si>
  <si>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</si>
  <si>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</si>
  <si>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</si>
  <si>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</si>
  <si>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</si>
  <si>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</si>
  <si>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</si>
  <si>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</si>
  <si>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</si>
  <si>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</si>
  <si>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</si>
  <si>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</si>
  <si>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</si>
  <si>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</si>
  <si>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</si>
  <si>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</si>
  <si>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</si>
  <si>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</si>
  <si>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</si>
  <si>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</si>
  <si>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</si>
  <si>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</si>
  <si>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</si>
  <si>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</si>
  <si>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</si>
  <si>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</si>
  <si>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</si>
  <si>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</si>
  <si>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</si>
  <si>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</si>
  <si>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</si>
  <si>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</si>
  <si>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</si>
  <si>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</si>
  <si>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</si>
  <si>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</si>
  <si>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</si>
  <si>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</si>
  <si>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</si>
  <si>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</si>
  <si>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</si>
  <si>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</si>
  <si>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</si>
  <si>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</si>
  <si>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</si>
  <si>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</si>
  <si>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</si>
  <si>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</si>
  <si>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</si>
  <si>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</si>
  <si>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</si>
  <si>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</si>
  <si>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</si>
  <si>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</si>
  <si>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</si>
  <si>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</si>
  <si>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</si>
  <si>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</si>
  <si>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</si>
  <si>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</si>
  <si>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</si>
  <si>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</si>
  <si>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</si>
  <si>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</si>
  <si>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</si>
  <si>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</si>
  <si>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</si>
  <si>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</si>
  <si>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</si>
  <si>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</si>
  <si>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</si>
  <si>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</si>
  <si>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</si>
  <si>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</si>
  <si>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</si>
  <si>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</si>
  <si>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</si>
  <si>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</si>
  <si>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</si>
  <si>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</si>
  <si>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</si>
  <si>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</si>
  <si>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</si>
  <si>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</si>
  <si>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</si>
  <si>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</si>
  <si>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</si>
  <si>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</si>
  <si>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</si>
  <si>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</si>
  <si>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</si>
  <si>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</si>
  <si>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</si>
  <si>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</si>
  <si>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</si>
  <si>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</si>
  <si>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</si>
  <si>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</si>
  <si>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</si>
  <si>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</si>
  <si>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</si>
  <si>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</si>
  <si>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</si>
  <si>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</si>
  <si>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</si>
  <si>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</si>
  <si>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</si>
  <si>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</si>
  <si>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</si>
  <si>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</si>
  <si>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</si>
  <si>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</si>
  <si>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</si>
  <si>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</si>
  <si>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</si>
  <si>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</si>
  <si>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</si>
  <si>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</si>
  <si>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</si>
  <si>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</si>
  <si>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</si>
  <si>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</si>
  <si>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</si>
  <si>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</si>
  <si>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</si>
  <si>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</si>
  <si>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</si>
  <si>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</si>
  <si>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</si>
  <si>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</si>
  <si>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</si>
  <si>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</si>
  <si>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</si>
  <si>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</si>
  <si>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</si>
  <si>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</si>
  <si>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</si>
  <si>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</si>
  <si>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</si>
  <si>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</si>
  <si>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</si>
  <si>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</si>
  <si>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</si>
  <si>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</si>
  <si>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</si>
  <si>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</si>
  <si>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</si>
  <si>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</si>
  <si>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</si>
  <si>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</si>
  <si>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</si>
  <si>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</si>
  <si>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</si>
  <si>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</si>
  <si>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</si>
  <si>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</si>
  <si>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</si>
  <si>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</si>
  <si>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</si>
  <si>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</si>
  <si>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</si>
  <si>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</si>
  <si>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</si>
  <si>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</si>
  <si>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</si>
  <si>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</si>
  <si>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</si>
  <si>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</si>
  <si>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</si>
  <si>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</si>
  <si>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</si>
  <si>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</si>
  <si>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</si>
  <si>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</si>
  <si>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</si>
  <si>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</si>
  <si>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</si>
  <si>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</si>
  <si>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</si>
  <si>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</si>
  <si>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</si>
  <si>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</si>
  <si>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</si>
  <si>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</si>
  <si>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</si>
  <si>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</si>
  <si>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</si>
  <si>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</si>
  <si>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</si>
  <si>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</si>
  <si>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</si>
  <si>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</si>
  <si>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</si>
  <si>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</si>
  <si>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</si>
  <si>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</si>
  <si>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</si>
  <si>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</si>
  <si>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</si>
  <si>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</si>
  <si>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</si>
  <si>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</si>
  <si>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</si>
  <si>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</si>
  <si>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</si>
  <si>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</si>
  <si>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</si>
  <si>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</si>
  <si>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</si>
  <si>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</si>
  <si>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</si>
  <si>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</si>
  <si>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</si>
  <si>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</si>
  <si>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</si>
  <si>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</si>
  <si>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</si>
  <si>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</si>
  <si>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</si>
  <si>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</si>
  <si>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</si>
  <si>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</si>
  <si>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</si>
  <si>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</si>
  <si>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</si>
  <si>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</si>
  <si>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</si>
  <si>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</si>
  <si>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</si>
  <si>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</si>
  <si>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</si>
  <si>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</si>
  <si>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</si>
  <si>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</si>
  <si>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</si>
  <si>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</si>
  <si>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</si>
  <si>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</si>
  <si>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</si>
  <si>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</si>
  <si>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</si>
  <si>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</si>
  <si>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</si>
  <si>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</si>
  <si>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</si>
  <si>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</si>
  <si>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</si>
  <si>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</si>
  <si>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</si>
  <si>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</si>
  <si>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</si>
  <si>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</si>
  <si>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</si>
  <si>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</si>
  <si>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</si>
  <si>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</si>
  <si>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</si>
  <si>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</si>
  <si>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</si>
  <si>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</si>
  <si>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</si>
  <si>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</si>
  <si>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</si>
  <si>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</si>
  <si>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</si>
  <si>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</si>
  <si>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</si>
  <si>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</si>
  <si>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</si>
  <si>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</si>
  <si>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</si>
  <si>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</si>
  <si>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</si>
  <si>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</si>
  <si>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</si>
  <si>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</si>
  <si>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</si>
  <si>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</si>
  <si>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</si>
  <si>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</si>
  <si>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</si>
  <si>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</si>
  <si>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</si>
  <si>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</si>
  <si>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</si>
  <si>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</si>
  <si>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</si>
  <si>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</si>
  <si>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</si>
  <si>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</si>
  <si>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</si>
  <si>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</si>
  <si>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</si>
  <si>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</si>
  <si>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</si>
  <si>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</si>
  <si>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</si>
  <si>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</si>
  <si>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</si>
  <si>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</si>
  <si>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</si>
  <si>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</si>
  <si>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</si>
  <si>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</si>
  <si>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</si>
  <si>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</si>
  <si>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</si>
  <si>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</si>
  <si>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</si>
  <si>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</si>
  <si>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</si>
  <si>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</si>
  <si>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</si>
  <si>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</si>
  <si>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</si>
  <si>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</si>
  <si>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</si>
  <si>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</si>
  <si>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</si>
  <si>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</si>
  <si>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</si>
  <si>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</si>
  <si>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</si>
  <si>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</si>
  <si>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</si>
  <si>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</si>
  <si>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</si>
  <si>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</si>
  <si>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</si>
  <si>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</si>
  <si>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</si>
  <si>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</si>
  <si>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</si>
  <si>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</si>
  <si>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</si>
  <si>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</si>
  <si>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</si>
  <si>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</si>
  <si>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</si>
  <si>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</si>
  <si>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</si>
  <si>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</si>
  <si>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</si>
  <si>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</si>
  <si>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</si>
  <si>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</si>
  <si>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</si>
  <si>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</si>
  <si>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</si>
  <si>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</si>
  <si>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</si>
  <si>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</si>
  <si>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</si>
  <si>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</si>
  <si>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</si>
  <si>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</si>
  <si>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</si>
  <si>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</si>
  <si>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</si>
  <si>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</si>
  <si>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</si>
  <si>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</si>
  <si>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</si>
  <si>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</si>
  <si>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</si>
  <si>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</si>
  <si>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</si>
  <si>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</si>
  <si>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</si>
  <si>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</si>
  <si>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</si>
  <si>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</si>
  <si>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</si>
  <si>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</si>
  <si>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</si>
  <si>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</si>
  <si>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</si>
  <si>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</si>
  <si>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</si>
  <si>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</si>
  <si>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</si>
  <si>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</si>
  <si>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</si>
  <si>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</si>
  <si>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</si>
  <si>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</si>
  <si>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</si>
  <si>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</si>
  <si>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</si>
  <si>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</si>
  <si>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</si>
  <si>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</si>
  <si>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</si>
  <si>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</si>
  <si>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</si>
  <si>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</si>
  <si>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</si>
  <si>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</si>
  <si>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</si>
  <si>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</si>
  <si>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</si>
  <si>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</si>
  <si>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</si>
  <si>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</si>
  <si>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</si>
  <si>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</si>
  <si>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</si>
  <si>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</si>
  <si>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</si>
  <si>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</si>
  <si>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</si>
  <si>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</si>
  <si>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</si>
  <si>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</si>
  <si>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</si>
  <si>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</si>
  <si>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</si>
  <si>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</si>
  <si>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</si>
  <si>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</si>
  <si>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</si>
  <si>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</si>
  <si>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</si>
  <si>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</si>
  <si>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</si>
  <si>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</si>
  <si>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</si>
  <si>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</si>
  <si>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</si>
  <si>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</si>
  <si>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</si>
  <si>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</si>
  <si>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</si>
  <si>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</si>
  <si>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</si>
  <si>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</si>
  <si>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</si>
  <si>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</si>
  <si>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</si>
  <si>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</si>
  <si>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</si>
  <si>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</si>
  <si>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</si>
  <si>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</si>
  <si>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</si>
  <si>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</si>
  <si>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</si>
  <si>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</si>
  <si>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</si>
  <si>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</si>
  <si>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</si>
  <si>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</si>
  <si>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</si>
  <si>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</si>
  <si>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</si>
  <si>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</si>
  <si>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</si>
  <si>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</si>
  <si>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</si>
  <si>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</si>
  <si>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</si>
  <si>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</si>
  <si>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</si>
  <si>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</si>
  <si>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</si>
  <si>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</si>
  <si>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</si>
  <si>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</si>
  <si>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</si>
  <si>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</si>
  <si>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</si>
  <si>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</si>
  <si>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</si>
  <si>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</si>
  <si>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</si>
  <si>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</si>
  <si>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</si>
  <si>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</si>
  <si>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</si>
  <si>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</si>
  <si>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</si>
  <si>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</si>
  <si>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</si>
  <si>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</si>
  <si>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</si>
  <si>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</si>
  <si>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</si>
  <si>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</si>
  <si>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</si>
  <si>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</si>
  <si>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</si>
  <si>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</si>
  <si>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</si>
  <si>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</si>
  <si>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</si>
  <si>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</si>
  <si>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</si>
  <si>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</si>
  <si>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</si>
  <si>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</si>
  <si>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</si>
  <si>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</si>
  <si>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</si>
  <si>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</si>
  <si>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</si>
  <si>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</si>
  <si>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</si>
  <si>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</si>
  <si>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</si>
  <si>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</si>
  <si>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</si>
  <si>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</si>
  <si>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</si>
  <si>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</si>
  <si>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</si>
  <si>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</si>
  <si>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</si>
  <si>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</si>
  <si>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</si>
  <si>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</si>
  <si>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</si>
  <si>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</si>
  <si>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</si>
  <si>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</si>
  <si>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</si>
  <si>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</si>
  <si>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</si>
  <si>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</si>
  <si>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</si>
  <si>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</si>
  <si>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</si>
  <si>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</si>
  <si>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</si>
  <si>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</si>
  <si>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</si>
  <si>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</si>
  <si>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</si>
  <si>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</si>
  <si>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</si>
  <si>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</si>
  <si>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</si>
  <si>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</si>
  <si>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</si>
  <si>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</si>
  <si>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</si>
  <si>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</si>
  <si>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</si>
  <si>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</si>
  <si>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</si>
  <si>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</si>
  <si>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</si>
  <si>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</si>
  <si>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</si>
  <si>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</si>
  <si>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</si>
  <si>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</si>
  <si>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</si>
  <si>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</si>
  <si>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</si>
  <si>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</si>
  <si>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</si>
  <si>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</si>
  <si>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</si>
  <si>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</si>
  <si>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</si>
  <si>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</si>
  <si>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</si>
  <si>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</si>
  <si>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</si>
  <si>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</si>
  <si>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</si>
  <si>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</si>
  <si>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</si>
  <si>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</si>
  <si>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</si>
  <si>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</si>
  <si>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</si>
  <si>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</si>
  <si>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</si>
  <si>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</si>
  <si>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</si>
  <si>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</si>
  <si>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</si>
  <si>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</si>
  <si>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</si>
  <si>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</si>
  <si>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</si>
  <si>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</si>
  <si>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</si>
  <si>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</si>
  <si>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</si>
  <si>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</si>
  <si>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</si>
  <si>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</si>
  <si>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</si>
  <si>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</si>
  <si>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</si>
  <si>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</si>
  <si>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</si>
  <si>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</si>
  <si>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</si>
  <si>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</si>
  <si>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</si>
  <si>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</si>
  <si>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</si>
  <si>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</si>
  <si>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</si>
  <si>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</si>
  <si>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</si>
  <si>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</si>
  <si>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</si>
  <si>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</si>
  <si>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</si>
  <si>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</si>
  <si>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</si>
  <si>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</si>
  <si>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</si>
  <si>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</si>
  <si>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</si>
  <si>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</si>
  <si>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</si>
  <si>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</si>
  <si>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</si>
  <si>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</si>
  <si>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</si>
  <si>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</si>
  <si>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</si>
  <si>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</si>
  <si>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</si>
  <si>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</si>
  <si>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</si>
  <si>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</si>
  <si>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</si>
  <si>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</si>
  <si>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</si>
  <si>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</si>
  <si>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</si>
  <si>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</si>
  <si>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</si>
  <si>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</si>
  <si>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</si>
  <si>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</si>
  <si>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</si>
  <si>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</si>
  <si>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</si>
  <si>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</si>
  <si>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</si>
  <si>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</si>
  <si>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</si>
  <si>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</si>
  <si>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</si>
  <si>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</si>
  <si>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</si>
  <si>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</si>
  <si>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</si>
  <si>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</si>
  <si>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</si>
  <si>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</si>
  <si>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</si>
  <si>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</si>
  <si>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</si>
  <si>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</si>
  <si>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</si>
  <si>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</si>
  <si>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</si>
  <si>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</si>
  <si>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</si>
  <si>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</si>
  <si>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</si>
  <si>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</si>
  <si>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</si>
  <si>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</si>
  <si>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</si>
  <si>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</si>
  <si>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</si>
  <si>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</si>
  <si>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</si>
  <si>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</si>
  <si>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</si>
  <si>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</si>
  <si>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</si>
  <si>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</si>
  <si>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</si>
  <si>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</si>
  <si>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</si>
  <si>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</si>
  <si>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</si>
  <si>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</si>
  <si>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</si>
  <si>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</si>
  <si>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</si>
  <si>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</si>
  <si>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</si>
  <si>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</si>
  <si>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</si>
  <si>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</si>
  <si>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</si>
  <si>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</si>
  <si>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</si>
  <si>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</si>
  <si>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</si>
  <si>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</si>
  <si>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</si>
  <si>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</si>
  <si>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</si>
  <si>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</si>
  <si>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</si>
  <si>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</si>
  <si>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</si>
  <si>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</si>
  <si>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</si>
  <si>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</si>
  <si>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</si>
  <si>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</si>
  <si>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</si>
  <si>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</si>
  <si>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</si>
  <si>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</si>
  <si>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</si>
  <si>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</si>
  <si>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</si>
  <si>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</si>
  <si>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</si>
  <si>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</si>
  <si>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</si>
  <si>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</si>
  <si>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</si>
  <si>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</si>
  <si>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</si>
  <si>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</si>
  <si>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</si>
  <si>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</si>
  <si>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</si>
  <si>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</si>
  <si>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</si>
  <si>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</si>
  <si>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</si>
  <si>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</si>
  <si>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</si>
  <si>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</si>
  <si>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</si>
  <si>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</si>
  <si>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</si>
  <si>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</si>
  <si>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</si>
  <si>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</si>
  <si>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</si>
  <si>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</si>
  <si>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</si>
  <si>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</si>
  <si>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</si>
  <si>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</si>
  <si>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</si>
  <si>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</si>
  <si>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</si>
  <si>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</si>
  <si>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</si>
  <si>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</si>
  <si>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</si>
  <si>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</si>
  <si>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</si>
  <si>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24048</t>
  </si>
  <si>
    <t>KEERBERGEN</t>
  </si>
  <si>
    <t>Paarden&amp;pony's 200 - 600 kg</t>
  </si>
  <si>
    <t>Paarden&amp;pony's &lt; 200 kg</t>
  </si>
  <si>
    <t>Fluvius</t>
  </si>
  <si>
    <t>referentietaak LNE (2017); Jaarverslag De Lijn</t>
  </si>
  <si>
    <t>Architeam bvba</t>
  </si>
  <si>
    <t>Bleybergweg 14 , 3140 Keerbergen</t>
  </si>
  <si>
    <t>WKK-0192 Architeam</t>
  </si>
  <si>
    <t>interne verbrandingsmotor</t>
  </si>
  <si>
    <t>WKK interne verbrandinsgmotor (gas)</t>
  </si>
  <si>
    <t>Grootlosestraat 53 , 3128 Baal</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</si>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</sst>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24048</v>
      </c>
      <c r="B6" s="386"/>
      <c r="C6" s="387"/>
    </row>
    <row r="7" spans="1:7" s="384" customFormat="1" ht="15.75" customHeight="1">
      <c r="A7" s="388" t="str">
        <f>txtMunicipality</f>
        <v>KEERBERGEN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13586.454958795204</v>
      </c>
      <c r="D10" s="676">
        <f ca="1">tertiair!C16</f>
        <v>160.71428571428572</v>
      </c>
      <c r="E10" s="676">
        <f ca="1">tertiair!D16</f>
        <v>7793.082888979895</v>
      </c>
      <c r="F10" s="676">
        <f>tertiair!E16</f>
        <v>147.34570830614922</v>
      </c>
      <c r="G10" s="676">
        <f ca="1">tertiair!F16</f>
        <v>2438.901953770719</v>
      </c>
      <c r="H10" s="676">
        <f>tertiair!G16</f>
        <v>0</v>
      </c>
      <c r="I10" s="676">
        <f>tertiair!H16</f>
        <v>0</v>
      </c>
      <c r="J10" s="676">
        <f>tertiair!I16</f>
        <v>0</v>
      </c>
      <c r="K10" s="676">
        <f>tertiair!J16</f>
        <v>0</v>
      </c>
      <c r="L10" s="676">
        <f>tertiair!K16</f>
        <v>0</v>
      </c>
      <c r="M10" s="676">
        <f ca="1">tertiair!L16</f>
        <v>0</v>
      </c>
      <c r="N10" s="676">
        <f>tertiair!M16</f>
        <v>0</v>
      </c>
      <c r="O10" s="676">
        <f ca="1">tertiair!N16</f>
        <v>581.3975207764247</v>
      </c>
      <c r="P10" s="676">
        <f>tertiair!O16</f>
        <v>1.5633333333333335</v>
      </c>
      <c r="Q10" s="677">
        <f>tertiair!P16</f>
        <v>19.066666666666666</v>
      </c>
      <c r="R10" s="679">
        <f ca="1">SUM(C10:Q10)</f>
        <v>24728.527316342675</v>
      </c>
      <c r="S10" s="68"/>
    </row>
    <row r="11" spans="1:19" s="445" customFormat="1">
      <c r="A11" s="791" t="s">
        <v>220</v>
      </c>
      <c r="B11" s="796"/>
      <c r="C11" s="676">
        <f>huishoudens!B8</f>
        <v>30249.40283811108</v>
      </c>
      <c r="D11" s="676">
        <f>huishoudens!C8</f>
        <v>0</v>
      </c>
      <c r="E11" s="676">
        <f>huishoudens!D8</f>
        <v>28965.666246279852</v>
      </c>
      <c r="F11" s="676">
        <f>huishoudens!E8</f>
        <v>1841.1513822115396</v>
      </c>
      <c r="G11" s="676">
        <f>huishoudens!F8</f>
        <v>56131.360236441215</v>
      </c>
      <c r="H11" s="676">
        <f>huishoudens!G8</f>
        <v>0</v>
      </c>
      <c r="I11" s="676">
        <f>huishoudens!H8</f>
        <v>0</v>
      </c>
      <c r="J11" s="676">
        <f>huishoudens!I8</f>
        <v>0</v>
      </c>
      <c r="K11" s="676">
        <f>huishoudens!J8</f>
        <v>1018.4839727515971</v>
      </c>
      <c r="L11" s="676">
        <f>huishoudens!K8</f>
        <v>0</v>
      </c>
      <c r="M11" s="676">
        <f>huishoudens!L8</f>
        <v>0</v>
      </c>
      <c r="N11" s="676">
        <f>huishoudens!M8</f>
        <v>0</v>
      </c>
      <c r="O11" s="676">
        <f>huishoudens!N8</f>
        <v>7828.0468735934692</v>
      </c>
      <c r="P11" s="676">
        <f>huishoudens!O8</f>
        <v>98.490000000000009</v>
      </c>
      <c r="Q11" s="677">
        <f>huishoudens!P8</f>
        <v>266.93333333333334</v>
      </c>
      <c r="R11" s="679">
        <f>SUM(C11:Q11)</f>
        <v>126399.53488272209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793.23580995770601</v>
      </c>
      <c r="D13" s="676">
        <f>industrie!C18</f>
        <v>0</v>
      </c>
      <c r="E13" s="676">
        <f>industrie!D18</f>
        <v>421.83867686476253</v>
      </c>
      <c r="F13" s="676">
        <f>industrie!E18</f>
        <v>5.8677294932103887</v>
      </c>
      <c r="G13" s="676">
        <f>industrie!F18</f>
        <v>389.76212557781793</v>
      </c>
      <c r="H13" s="676">
        <f>industrie!G18</f>
        <v>0</v>
      </c>
      <c r="I13" s="676">
        <f>industrie!H18</f>
        <v>0</v>
      </c>
      <c r="J13" s="676">
        <f>industrie!I18</f>
        <v>0</v>
      </c>
      <c r="K13" s="676">
        <f>industrie!J18</f>
        <v>2.5115633065998946</v>
      </c>
      <c r="L13" s="676">
        <f>industrie!K18</f>
        <v>0</v>
      </c>
      <c r="M13" s="676">
        <f>industrie!L18</f>
        <v>0</v>
      </c>
      <c r="N13" s="676">
        <f>industrie!M18</f>
        <v>0</v>
      </c>
      <c r="O13" s="676">
        <f>industrie!N18</f>
        <v>41.009536158250157</v>
      </c>
      <c r="P13" s="676">
        <f>industrie!O18</f>
        <v>0</v>
      </c>
      <c r="Q13" s="677">
        <f>industrie!P18</f>
        <v>0</v>
      </c>
      <c r="R13" s="679">
        <f>SUM(C13:Q13)</f>
        <v>1654.2254413583466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44629.093606863986</v>
      </c>
      <c r="D16" s="709">
        <f t="shared" ref="D16:R16" ca="1" si="0">SUM(D9:D15)</f>
        <v>160.71428571428572</v>
      </c>
      <c r="E16" s="709">
        <f t="shared" ca="1" si="0"/>
        <v>37180.587812124511</v>
      </c>
      <c r="F16" s="709">
        <f t="shared" si="0"/>
        <v>1994.3648200108992</v>
      </c>
      <c r="G16" s="709">
        <f t="shared" ca="1" si="0"/>
        <v>58960.024315789757</v>
      </c>
      <c r="H16" s="709">
        <f t="shared" si="0"/>
        <v>0</v>
      </c>
      <c r="I16" s="709">
        <f t="shared" si="0"/>
        <v>0</v>
      </c>
      <c r="J16" s="709">
        <f t="shared" si="0"/>
        <v>0</v>
      </c>
      <c r="K16" s="709">
        <f t="shared" si="0"/>
        <v>1020.995536058197</v>
      </c>
      <c r="L16" s="709">
        <f t="shared" si="0"/>
        <v>0</v>
      </c>
      <c r="M16" s="709">
        <f t="shared" ca="1" si="0"/>
        <v>0</v>
      </c>
      <c r="N16" s="709">
        <f t="shared" si="0"/>
        <v>0</v>
      </c>
      <c r="O16" s="709">
        <f t="shared" ca="1" si="0"/>
        <v>8450.4539305281432</v>
      </c>
      <c r="P16" s="709">
        <f t="shared" si="0"/>
        <v>100.05333333333334</v>
      </c>
      <c r="Q16" s="709">
        <f t="shared" si="0"/>
        <v>286</v>
      </c>
      <c r="R16" s="709">
        <f t="shared" ca="1" si="0"/>
        <v>152782.28764042311</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6.9609833118985716</v>
      </c>
      <c r="D19" s="676">
        <f>transport!C54</f>
        <v>0</v>
      </c>
      <c r="E19" s="676">
        <f>transport!D54</f>
        <v>0</v>
      </c>
      <c r="F19" s="676">
        <f>transport!E54</f>
        <v>0</v>
      </c>
      <c r="G19" s="676">
        <f>transport!F54</f>
        <v>0</v>
      </c>
      <c r="H19" s="676">
        <f>transport!G54</f>
        <v>1388.3818455916555</v>
      </c>
      <c r="I19" s="676">
        <f>transport!H54</f>
        <v>0</v>
      </c>
      <c r="J19" s="676">
        <f>transport!I54</f>
        <v>0</v>
      </c>
      <c r="K19" s="676">
        <f>transport!J54</f>
        <v>0</v>
      </c>
      <c r="L19" s="676">
        <f>transport!K54</f>
        <v>0</v>
      </c>
      <c r="M19" s="676">
        <f>transport!L54</f>
        <v>0</v>
      </c>
      <c r="N19" s="676">
        <f>transport!M54</f>
        <v>61.364998865480324</v>
      </c>
      <c r="O19" s="676">
        <f>transport!N54</f>
        <v>0</v>
      </c>
      <c r="P19" s="676">
        <f>transport!O54</f>
        <v>0</v>
      </c>
      <c r="Q19" s="677">
        <f>transport!P54</f>
        <v>0</v>
      </c>
      <c r="R19" s="679">
        <f>SUM(C19:Q19)</f>
        <v>1456.7078277690346</v>
      </c>
      <c r="S19" s="68"/>
    </row>
    <row r="20" spans="1:19" s="445" customFormat="1">
      <c r="A20" s="791" t="s">
        <v>302</v>
      </c>
      <c r="B20" s="796"/>
      <c r="C20" s="676">
        <f>transport!B14</f>
        <v>2.0074846906408044</v>
      </c>
      <c r="D20" s="676">
        <f>transport!C14</f>
        <v>0</v>
      </c>
      <c r="E20" s="676">
        <f>transport!D14</f>
        <v>3.767005125972049</v>
      </c>
      <c r="F20" s="676">
        <f>transport!E14</f>
        <v>231.6372688664153</v>
      </c>
      <c r="G20" s="676">
        <f>transport!F14</f>
        <v>0</v>
      </c>
      <c r="H20" s="676">
        <f>transport!G14</f>
        <v>38056.188055482366</v>
      </c>
      <c r="I20" s="676">
        <f>transport!H14</f>
        <v>8762.5281096250474</v>
      </c>
      <c r="J20" s="676">
        <f>transport!I14</f>
        <v>0</v>
      </c>
      <c r="K20" s="676">
        <f>transport!J14</f>
        <v>0</v>
      </c>
      <c r="L20" s="676">
        <f>transport!K14</f>
        <v>0</v>
      </c>
      <c r="M20" s="676">
        <f>transport!L14</f>
        <v>0</v>
      </c>
      <c r="N20" s="676">
        <f>transport!M14</f>
        <v>2094.7085829643097</v>
      </c>
      <c r="O20" s="676">
        <f>transport!N14</f>
        <v>0</v>
      </c>
      <c r="P20" s="676">
        <f>transport!O14</f>
        <v>0</v>
      </c>
      <c r="Q20" s="677">
        <f>transport!P14</f>
        <v>0</v>
      </c>
      <c r="R20" s="679">
        <f>SUM(C20:Q20)</f>
        <v>49150.836506754749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8.9684680025393764</v>
      </c>
      <c r="D22" s="794">
        <f t="shared" ref="D22:R22" si="1">SUM(D18:D21)</f>
        <v>0</v>
      </c>
      <c r="E22" s="794">
        <f t="shared" si="1"/>
        <v>3.767005125972049</v>
      </c>
      <c r="F22" s="794">
        <f t="shared" si="1"/>
        <v>231.6372688664153</v>
      </c>
      <c r="G22" s="794">
        <f t="shared" si="1"/>
        <v>0</v>
      </c>
      <c r="H22" s="794">
        <f t="shared" si="1"/>
        <v>39444.569901074021</v>
      </c>
      <c r="I22" s="794">
        <f t="shared" si="1"/>
        <v>8762.5281096250474</v>
      </c>
      <c r="J22" s="794">
        <f t="shared" si="1"/>
        <v>0</v>
      </c>
      <c r="K22" s="794">
        <f t="shared" si="1"/>
        <v>0</v>
      </c>
      <c r="L22" s="794">
        <f t="shared" si="1"/>
        <v>0</v>
      </c>
      <c r="M22" s="794">
        <f t="shared" si="1"/>
        <v>0</v>
      </c>
      <c r="N22" s="794">
        <f t="shared" si="1"/>
        <v>2156.0735818297899</v>
      </c>
      <c r="O22" s="794">
        <f t="shared" si="1"/>
        <v>0</v>
      </c>
      <c r="P22" s="794">
        <f t="shared" si="1"/>
        <v>0</v>
      </c>
      <c r="Q22" s="794">
        <f t="shared" si="1"/>
        <v>0</v>
      </c>
      <c r="R22" s="794">
        <f t="shared" si="1"/>
        <v>50607.544334523787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118.68171820800379</v>
      </c>
      <c r="D24" s="676">
        <f>+landbouw!C8</f>
        <v>0</v>
      </c>
      <c r="E24" s="676">
        <f>+landbouw!D8</f>
        <v>40.334727275545077</v>
      </c>
      <c r="F24" s="676">
        <f>+landbouw!E8</f>
        <v>1.1180613048790766</v>
      </c>
      <c r="G24" s="676">
        <f>+landbouw!F8</f>
        <v>387.29783351589452</v>
      </c>
      <c r="H24" s="676">
        <f>+landbouw!G8</f>
        <v>0</v>
      </c>
      <c r="I24" s="676">
        <f>+landbouw!H8</f>
        <v>0</v>
      </c>
      <c r="J24" s="676">
        <f>+landbouw!I8</f>
        <v>0</v>
      </c>
      <c r="K24" s="676">
        <f>+landbouw!J8</f>
        <v>14.681505810096548</v>
      </c>
      <c r="L24" s="676">
        <f>+landbouw!K8</f>
        <v>0</v>
      </c>
      <c r="M24" s="676">
        <f>+landbouw!L8</f>
        <v>0</v>
      </c>
      <c r="N24" s="676">
        <f>+landbouw!M8</f>
        <v>0</v>
      </c>
      <c r="O24" s="676">
        <f>+landbouw!N8</f>
        <v>0</v>
      </c>
      <c r="P24" s="676">
        <f>+landbouw!O8</f>
        <v>0</v>
      </c>
      <c r="Q24" s="677">
        <f>+landbouw!P8</f>
        <v>0</v>
      </c>
      <c r="R24" s="679">
        <f>SUM(C24:Q24)</f>
        <v>562.11384611441895</v>
      </c>
      <c r="S24" s="68"/>
    </row>
    <row r="25" spans="1:19" s="445" customFormat="1" ht="15" thickBot="1">
      <c r="A25" s="813" t="s">
        <v>879</v>
      </c>
      <c r="B25" s="979"/>
      <c r="C25" s="980">
        <f>IF(Onbekend_ele_kWh="---",0,Onbekend_ele_kWh)/1000+IF(REST_rest_ele_kWh="---",0,REST_rest_ele_kWh)/1000</f>
        <v>930.26625004245102</v>
      </c>
      <c r="D25" s="980"/>
      <c r="E25" s="980">
        <f>IF(onbekend_gas_kWh="---",0,onbekend_gas_kWh)/1000+IF(REST_rest_gas_kWh="---",0,REST_rest_gas_kWh)/1000</f>
        <v>4751.2542789830504</v>
      </c>
      <c r="F25" s="980"/>
      <c r="G25" s="980"/>
      <c r="H25" s="980"/>
      <c r="I25" s="980"/>
      <c r="J25" s="980"/>
      <c r="K25" s="980"/>
      <c r="L25" s="980"/>
      <c r="M25" s="980"/>
      <c r="N25" s="980"/>
      <c r="O25" s="980"/>
      <c r="P25" s="980"/>
      <c r="Q25" s="981"/>
      <c r="R25" s="679">
        <f>SUM(C25:Q25)</f>
        <v>5681.5205290255017</v>
      </c>
      <c r="S25" s="68"/>
    </row>
    <row r="26" spans="1:19" s="445" customFormat="1" ht="15.75" thickBot="1">
      <c r="A26" s="682" t="s">
        <v>880</v>
      </c>
      <c r="B26" s="799"/>
      <c r="C26" s="794">
        <f>SUM(C24:C25)</f>
        <v>1048.9479682504548</v>
      </c>
      <c r="D26" s="794">
        <f t="shared" ref="D26:R26" si="2">SUM(D24:D25)</f>
        <v>0</v>
      </c>
      <c r="E26" s="794">
        <f t="shared" si="2"/>
        <v>4791.5890062585959</v>
      </c>
      <c r="F26" s="794">
        <f t="shared" si="2"/>
        <v>1.1180613048790766</v>
      </c>
      <c r="G26" s="794">
        <f t="shared" si="2"/>
        <v>387.29783351589452</v>
      </c>
      <c r="H26" s="794">
        <f t="shared" si="2"/>
        <v>0</v>
      </c>
      <c r="I26" s="794">
        <f t="shared" si="2"/>
        <v>0</v>
      </c>
      <c r="J26" s="794">
        <f t="shared" si="2"/>
        <v>0</v>
      </c>
      <c r="K26" s="794">
        <f t="shared" si="2"/>
        <v>14.681505810096548</v>
      </c>
      <c r="L26" s="794">
        <f t="shared" si="2"/>
        <v>0</v>
      </c>
      <c r="M26" s="794">
        <f t="shared" si="2"/>
        <v>0</v>
      </c>
      <c r="N26" s="794">
        <f t="shared" si="2"/>
        <v>0</v>
      </c>
      <c r="O26" s="794">
        <f t="shared" si="2"/>
        <v>0</v>
      </c>
      <c r="P26" s="794">
        <f t="shared" si="2"/>
        <v>0</v>
      </c>
      <c r="Q26" s="794">
        <f t="shared" si="2"/>
        <v>0</v>
      </c>
      <c r="R26" s="794">
        <f t="shared" si="2"/>
        <v>6243.6343751399208</v>
      </c>
      <c r="S26" s="68"/>
    </row>
    <row r="27" spans="1:19" s="445" customFormat="1" ht="17.25" thickTop="1" thickBot="1">
      <c r="A27" s="683" t="s">
        <v>115</v>
      </c>
      <c r="B27" s="786"/>
      <c r="C27" s="684">
        <f ca="1">C22+C16+C26</f>
        <v>45687.010043116978</v>
      </c>
      <c r="D27" s="684">
        <f t="shared" ref="D27:R27" ca="1" si="3">D22+D16+D26</f>
        <v>160.71428571428572</v>
      </c>
      <c r="E27" s="684">
        <f t="shared" ca="1" si="3"/>
        <v>41975.943823509078</v>
      </c>
      <c r="F27" s="684">
        <f t="shared" si="3"/>
        <v>2227.1201501821934</v>
      </c>
      <c r="G27" s="684">
        <f t="shared" ca="1" si="3"/>
        <v>59347.322149305648</v>
      </c>
      <c r="H27" s="684">
        <f t="shared" si="3"/>
        <v>39444.569901074021</v>
      </c>
      <c r="I27" s="684">
        <f t="shared" si="3"/>
        <v>8762.5281096250474</v>
      </c>
      <c r="J27" s="684">
        <f t="shared" si="3"/>
        <v>0</v>
      </c>
      <c r="K27" s="684">
        <f t="shared" si="3"/>
        <v>1035.6770418682936</v>
      </c>
      <c r="L27" s="684">
        <f t="shared" si="3"/>
        <v>0</v>
      </c>
      <c r="M27" s="684">
        <f t="shared" ca="1" si="3"/>
        <v>0</v>
      </c>
      <c r="N27" s="684">
        <f t="shared" si="3"/>
        <v>2156.0735818297899</v>
      </c>
      <c r="O27" s="684">
        <f t="shared" ca="1" si="3"/>
        <v>8450.4539305281432</v>
      </c>
      <c r="P27" s="684">
        <f t="shared" si="3"/>
        <v>100.05333333333334</v>
      </c>
      <c r="Q27" s="684">
        <f t="shared" si="3"/>
        <v>286</v>
      </c>
      <c r="R27" s="684">
        <f t="shared" ca="1" si="3"/>
        <v>209633.46635008682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2905.8399358800589</v>
      </c>
      <c r="D40" s="676">
        <f ca="1">tertiair!C20</f>
        <v>38.19327731092438</v>
      </c>
      <c r="E40" s="676">
        <f ca="1">tertiair!D20</f>
        <v>1574.202743573939</v>
      </c>
      <c r="F40" s="676">
        <f>tertiair!E20</f>
        <v>33.447475785495875</v>
      </c>
      <c r="G40" s="676">
        <f ca="1">tertiair!F20</f>
        <v>651.18682165678206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5202.8702542071997</v>
      </c>
    </row>
    <row r="41" spans="1:18">
      <c r="A41" s="804" t="s">
        <v>220</v>
      </c>
      <c r="B41" s="811"/>
      <c r="C41" s="676">
        <f ca="1">huishoudens!B12</f>
        <v>6469.6731465336861</v>
      </c>
      <c r="D41" s="676">
        <f ca="1">huishoudens!C12</f>
        <v>0</v>
      </c>
      <c r="E41" s="676">
        <f>huishoudens!D12</f>
        <v>5851.0645817485301</v>
      </c>
      <c r="F41" s="676">
        <f>huishoudens!E12</f>
        <v>417.94136376201948</v>
      </c>
      <c r="G41" s="676">
        <f>huishoudens!F12</f>
        <v>14987.073183129805</v>
      </c>
      <c r="H41" s="676">
        <f>huishoudens!G12</f>
        <v>0</v>
      </c>
      <c r="I41" s="676">
        <f>huishoudens!H12</f>
        <v>0</v>
      </c>
      <c r="J41" s="676">
        <f>huishoudens!I12</f>
        <v>0</v>
      </c>
      <c r="K41" s="676">
        <f>huishoudens!J12</f>
        <v>360.54332635406536</v>
      </c>
      <c r="L41" s="676">
        <f>huishoudens!K12</f>
        <v>0</v>
      </c>
      <c r="M41" s="676">
        <f>huishoudens!L12</f>
        <v>0</v>
      </c>
      <c r="N41" s="676">
        <f>huishoudens!M12</f>
        <v>0</v>
      </c>
      <c r="O41" s="676">
        <f>huishoudens!N12</f>
        <v>0</v>
      </c>
      <c r="P41" s="676">
        <f>huishoudens!O12</f>
        <v>0</v>
      </c>
      <c r="Q41" s="751">
        <f>huishoudens!P12</f>
        <v>0</v>
      </c>
      <c r="R41" s="832">
        <f t="shared" ca="1" si="4"/>
        <v>28086.295601528105</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169.65546215962041</v>
      </c>
      <c r="D43" s="676">
        <f ca="1">industrie!C22</f>
        <v>0</v>
      </c>
      <c r="E43" s="676">
        <f>industrie!D22</f>
        <v>85.211412726682042</v>
      </c>
      <c r="F43" s="676">
        <f>industrie!E22</f>
        <v>1.3319745949587583</v>
      </c>
      <c r="G43" s="676">
        <f>industrie!F22</f>
        <v>104.0664875292774</v>
      </c>
      <c r="H43" s="676">
        <f>industrie!G22</f>
        <v>0</v>
      </c>
      <c r="I43" s="676">
        <f>industrie!H22</f>
        <v>0</v>
      </c>
      <c r="J43" s="676">
        <f>industrie!I22</f>
        <v>0</v>
      </c>
      <c r="K43" s="676">
        <f>industrie!J22</f>
        <v>0.88909341053636259</v>
      </c>
      <c r="L43" s="676">
        <f>industrie!K22</f>
        <v>0</v>
      </c>
      <c r="M43" s="676">
        <f>industrie!L22</f>
        <v>0</v>
      </c>
      <c r="N43" s="676">
        <f>industrie!M22</f>
        <v>0</v>
      </c>
      <c r="O43" s="676">
        <f>industrie!N22</f>
        <v>0</v>
      </c>
      <c r="P43" s="676">
        <f>industrie!O22</f>
        <v>0</v>
      </c>
      <c r="Q43" s="751">
        <f>industrie!P22</f>
        <v>0</v>
      </c>
      <c r="R43" s="831">
        <f t="shared" ca="1" si="4"/>
        <v>361.15443042107495</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9545.1685445733656</v>
      </c>
      <c r="D46" s="709">
        <f t="shared" ref="D46:Q46" ca="1" si="5">SUM(D39:D45)</f>
        <v>38.19327731092438</v>
      </c>
      <c r="E46" s="709">
        <f t="shared" ca="1" si="5"/>
        <v>7510.4787380491516</v>
      </c>
      <c r="F46" s="709">
        <f t="shared" si="5"/>
        <v>452.72081414247413</v>
      </c>
      <c r="G46" s="709">
        <f t="shared" ca="1" si="5"/>
        <v>15742.326492315864</v>
      </c>
      <c r="H46" s="709">
        <f t="shared" si="5"/>
        <v>0</v>
      </c>
      <c r="I46" s="709">
        <f t="shared" si="5"/>
        <v>0</v>
      </c>
      <c r="J46" s="709">
        <f t="shared" si="5"/>
        <v>0</v>
      </c>
      <c r="K46" s="709">
        <f t="shared" si="5"/>
        <v>361.43241976460172</v>
      </c>
      <c r="L46" s="709">
        <f t="shared" si="5"/>
        <v>0</v>
      </c>
      <c r="M46" s="709">
        <f t="shared" ca="1" si="5"/>
        <v>0</v>
      </c>
      <c r="N46" s="709">
        <f t="shared" si="5"/>
        <v>0</v>
      </c>
      <c r="O46" s="709">
        <f t="shared" ca="1" si="5"/>
        <v>0</v>
      </c>
      <c r="P46" s="709">
        <f t="shared" si="5"/>
        <v>0</v>
      </c>
      <c r="Q46" s="709">
        <f t="shared" si="5"/>
        <v>0</v>
      </c>
      <c r="R46" s="709">
        <f ca="1">SUM(R39:R45)</f>
        <v>33650.320286156384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1.4887992020034049</v>
      </c>
      <c r="D49" s="676">
        <f ca="1">transport!C58</f>
        <v>0</v>
      </c>
      <c r="E49" s="676">
        <f>transport!D58</f>
        <v>0</v>
      </c>
      <c r="F49" s="676">
        <f>transport!E58</f>
        <v>0</v>
      </c>
      <c r="G49" s="676">
        <f>transport!F58</f>
        <v>0</v>
      </c>
      <c r="H49" s="676">
        <f>transport!G58</f>
        <v>370.69795277297203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372.18675197497544</v>
      </c>
    </row>
    <row r="50" spans="1:18">
      <c r="A50" s="807" t="s">
        <v>302</v>
      </c>
      <c r="B50" s="817"/>
      <c r="C50" s="986">
        <f ca="1">transport!B18</f>
        <v>0.42935623769580883</v>
      </c>
      <c r="D50" s="986">
        <f>transport!C18</f>
        <v>0</v>
      </c>
      <c r="E50" s="986">
        <f>transport!D18</f>
        <v>0.76093503544635399</v>
      </c>
      <c r="F50" s="986">
        <f>transport!E18</f>
        <v>52.581660032676275</v>
      </c>
      <c r="G50" s="986">
        <f>transport!F18</f>
        <v>0</v>
      </c>
      <c r="H50" s="986">
        <f>transport!G18</f>
        <v>10161.002210813793</v>
      </c>
      <c r="I50" s="986">
        <f>transport!H18</f>
        <v>2181.8694992966366</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12396.643661416249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1.9181554396992138</v>
      </c>
      <c r="D52" s="709">
        <f t="shared" ref="D52:Q52" ca="1" si="6">SUM(D48:D51)</f>
        <v>0</v>
      </c>
      <c r="E52" s="709">
        <f t="shared" si="6"/>
        <v>0.76093503544635399</v>
      </c>
      <c r="F52" s="709">
        <f t="shared" si="6"/>
        <v>52.581660032676275</v>
      </c>
      <c r="G52" s="709">
        <f t="shared" si="6"/>
        <v>0</v>
      </c>
      <c r="H52" s="709">
        <f t="shared" si="6"/>
        <v>10531.700163586765</v>
      </c>
      <c r="I52" s="709">
        <f t="shared" si="6"/>
        <v>2181.8694992966366</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12768.830413391224</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25.383374653181988</v>
      </c>
      <c r="D54" s="986">
        <f ca="1">+landbouw!C12</f>
        <v>0</v>
      </c>
      <c r="E54" s="986">
        <f>+landbouw!D12</f>
        <v>8.1476149096601063</v>
      </c>
      <c r="F54" s="986">
        <f>+landbouw!E12</f>
        <v>0.25379991620755038</v>
      </c>
      <c r="G54" s="986">
        <f>+landbouw!F12</f>
        <v>103.40852154874385</v>
      </c>
      <c r="H54" s="986">
        <f>+landbouw!G12</f>
        <v>0</v>
      </c>
      <c r="I54" s="986">
        <f>+landbouw!H12</f>
        <v>0</v>
      </c>
      <c r="J54" s="986">
        <f>+landbouw!I12</f>
        <v>0</v>
      </c>
      <c r="K54" s="986">
        <f>+landbouw!J12</f>
        <v>5.1972530567741773</v>
      </c>
      <c r="L54" s="986">
        <f>+landbouw!K12</f>
        <v>0</v>
      </c>
      <c r="M54" s="986">
        <f>+landbouw!L12</f>
        <v>0</v>
      </c>
      <c r="N54" s="986">
        <f>+landbouw!M12</f>
        <v>0</v>
      </c>
      <c r="O54" s="986">
        <f>+landbouw!N12</f>
        <v>0</v>
      </c>
      <c r="P54" s="986">
        <f>+landbouw!O12</f>
        <v>0</v>
      </c>
      <c r="Q54" s="987">
        <f>+landbouw!P12</f>
        <v>0</v>
      </c>
      <c r="R54" s="708">
        <f ca="1">SUM(C54:Q54)</f>
        <v>142.39056408456767</v>
      </c>
    </row>
    <row r="55" spans="1:18" ht="15" thickBot="1">
      <c r="A55" s="807" t="s">
        <v>879</v>
      </c>
      <c r="B55" s="817"/>
      <c r="C55" s="986">
        <f ca="1">C25*'EF ele_warmte'!B12</f>
        <v>198.96321951332982</v>
      </c>
      <c r="D55" s="986"/>
      <c r="E55" s="986">
        <f>E25*EF_CO2_aardgas</f>
        <v>959.75336435457621</v>
      </c>
      <c r="F55" s="986"/>
      <c r="G55" s="986"/>
      <c r="H55" s="986"/>
      <c r="I55" s="986"/>
      <c r="J55" s="986"/>
      <c r="K55" s="986"/>
      <c r="L55" s="986"/>
      <c r="M55" s="986"/>
      <c r="N55" s="986"/>
      <c r="O55" s="986"/>
      <c r="P55" s="986"/>
      <c r="Q55" s="987"/>
      <c r="R55" s="708">
        <f ca="1">SUM(C55:Q55)</f>
        <v>1158.7165838679061</v>
      </c>
    </row>
    <row r="56" spans="1:18" ht="15.75" thickBot="1">
      <c r="A56" s="805" t="s">
        <v>880</v>
      </c>
      <c r="B56" s="818"/>
      <c r="C56" s="709">
        <f ca="1">SUM(C54:C55)</f>
        <v>224.34659416651181</v>
      </c>
      <c r="D56" s="709">
        <f t="shared" ref="D56:Q56" ca="1" si="7">SUM(D54:D55)</f>
        <v>0</v>
      </c>
      <c r="E56" s="709">
        <f t="shared" si="7"/>
        <v>967.9009792642363</v>
      </c>
      <c r="F56" s="709">
        <f t="shared" si="7"/>
        <v>0.25379991620755038</v>
      </c>
      <c r="G56" s="709">
        <f t="shared" si="7"/>
        <v>103.40852154874385</v>
      </c>
      <c r="H56" s="709">
        <f t="shared" si="7"/>
        <v>0</v>
      </c>
      <c r="I56" s="709">
        <f t="shared" si="7"/>
        <v>0</v>
      </c>
      <c r="J56" s="709">
        <f t="shared" si="7"/>
        <v>0</v>
      </c>
      <c r="K56" s="709">
        <f t="shared" si="7"/>
        <v>5.1972530567741773</v>
      </c>
      <c r="L56" s="709">
        <f t="shared" si="7"/>
        <v>0</v>
      </c>
      <c r="M56" s="709">
        <f t="shared" si="7"/>
        <v>0</v>
      </c>
      <c r="N56" s="709">
        <f t="shared" si="7"/>
        <v>0</v>
      </c>
      <c r="O56" s="709">
        <f t="shared" si="7"/>
        <v>0</v>
      </c>
      <c r="P56" s="709">
        <f t="shared" si="7"/>
        <v>0</v>
      </c>
      <c r="Q56" s="710">
        <f t="shared" si="7"/>
        <v>0</v>
      </c>
      <c r="R56" s="711">
        <f ca="1">SUM(R54:R55)</f>
        <v>1301.1071479524737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9771.4332941795783</v>
      </c>
      <c r="D61" s="717">
        <f t="shared" ref="D61:Q61" ca="1" si="8">D46+D52+D56</f>
        <v>38.19327731092438</v>
      </c>
      <c r="E61" s="717">
        <f t="shared" ca="1" si="8"/>
        <v>8479.1406523488331</v>
      </c>
      <c r="F61" s="717">
        <f t="shared" si="8"/>
        <v>505.55627409135792</v>
      </c>
      <c r="G61" s="717">
        <f t="shared" ca="1" si="8"/>
        <v>15845.735013864607</v>
      </c>
      <c r="H61" s="717">
        <f t="shared" si="8"/>
        <v>10531.700163586765</v>
      </c>
      <c r="I61" s="717">
        <f t="shared" si="8"/>
        <v>2181.8694992966366</v>
      </c>
      <c r="J61" s="717">
        <f t="shared" si="8"/>
        <v>0</v>
      </c>
      <c r="K61" s="717">
        <f t="shared" si="8"/>
        <v>366.62967282137589</v>
      </c>
      <c r="L61" s="717">
        <f t="shared" si="8"/>
        <v>0</v>
      </c>
      <c r="M61" s="717">
        <f t="shared" ca="1" si="8"/>
        <v>0</v>
      </c>
      <c r="N61" s="717">
        <f t="shared" si="8"/>
        <v>0</v>
      </c>
      <c r="O61" s="717">
        <f t="shared" ca="1" si="8"/>
        <v>0</v>
      </c>
      <c r="P61" s="717">
        <f t="shared" si="8"/>
        <v>0</v>
      </c>
      <c r="Q61" s="717">
        <f t="shared" si="8"/>
        <v>0</v>
      </c>
      <c r="R61" s="717">
        <f ca="1">R46+R52+R56</f>
        <v>47720.257847500085</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0.21387771458359428</v>
      </c>
      <c r="D63" s="761">
        <f t="shared" ca="1" si="9"/>
        <v>0.23764705882352946</v>
      </c>
      <c r="E63" s="988">
        <f t="shared" ca="1" si="9"/>
        <v>0.20199999999999999</v>
      </c>
      <c r="F63" s="761">
        <f t="shared" si="9"/>
        <v>0.22700000000000001</v>
      </c>
      <c r="G63" s="761">
        <f t="shared" ca="1" si="9"/>
        <v>0.26699999999999996</v>
      </c>
      <c r="H63" s="761">
        <f t="shared" si="9"/>
        <v>0.26700000000000007</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1480.8539342394788</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112.5</v>
      </c>
      <c r="D76" s="998">
        <f>'lokale energieproductie'!C8</f>
        <v>132.35294117647058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26.735294117647058</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1480.8539342394788</v>
      </c>
      <c r="C78" s="732">
        <f>SUM(C72:C77)</f>
        <v>112.5</v>
      </c>
      <c r="D78" s="733">
        <f t="shared" ref="D78:H78" si="10">SUM(D76:D77)</f>
        <v>132.35294117647058</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26.735294117647058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160.71428571428572</v>
      </c>
      <c r="D87" s="754">
        <f>'lokale energieproductie'!C17</f>
        <v>189.07563025210086</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38.19327731092438</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160.71428571428572</v>
      </c>
      <c r="D90" s="732">
        <f t="shared" ref="D90:H90" si="12">SUM(D87:D89)</f>
        <v>189.07563025210086</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38.19327731092438</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30249.40283811108</v>
      </c>
      <c r="C4" s="449">
        <f>huishoudens!C8</f>
        <v>0</v>
      </c>
      <c r="D4" s="449">
        <f>huishoudens!D8</f>
        <v>28965.666246279852</v>
      </c>
      <c r="E4" s="449">
        <f>huishoudens!E8</f>
        <v>1841.1513822115396</v>
      </c>
      <c r="F4" s="449">
        <f>huishoudens!F8</f>
        <v>56131.360236441215</v>
      </c>
      <c r="G4" s="449">
        <f>huishoudens!G8</f>
        <v>0</v>
      </c>
      <c r="H4" s="449">
        <f>huishoudens!H8</f>
        <v>0</v>
      </c>
      <c r="I4" s="449">
        <f>huishoudens!I8</f>
        <v>0</v>
      </c>
      <c r="J4" s="449">
        <f>huishoudens!J8</f>
        <v>1018.4839727515971</v>
      </c>
      <c r="K4" s="449">
        <f>huishoudens!K8</f>
        <v>0</v>
      </c>
      <c r="L4" s="449">
        <f>huishoudens!L8</f>
        <v>0</v>
      </c>
      <c r="M4" s="449">
        <f>huishoudens!M8</f>
        <v>0</v>
      </c>
      <c r="N4" s="449">
        <f>huishoudens!N8</f>
        <v>7828.0468735934692</v>
      </c>
      <c r="O4" s="449">
        <f>huishoudens!O8</f>
        <v>98.490000000000009</v>
      </c>
      <c r="P4" s="450">
        <f>huishoudens!P8</f>
        <v>266.93333333333334</v>
      </c>
      <c r="Q4" s="451">
        <f>SUM(B4:P4)</f>
        <v>126399.53488272209</v>
      </c>
    </row>
    <row r="5" spans="1:17">
      <c r="A5" s="448" t="s">
        <v>155</v>
      </c>
      <c r="B5" s="449">
        <f ca="1">tertiair!B16</f>
        <v>12574.661958795205</v>
      </c>
      <c r="C5" s="449">
        <f ca="1">tertiair!C16</f>
        <v>160.71428571428572</v>
      </c>
      <c r="D5" s="449">
        <f ca="1">tertiair!D16</f>
        <v>7793.082888979895</v>
      </c>
      <c r="E5" s="449">
        <f>tertiair!E16</f>
        <v>147.34570830614922</v>
      </c>
      <c r="F5" s="449">
        <f ca="1">tertiair!F16</f>
        <v>2438.901953770719</v>
      </c>
      <c r="G5" s="449">
        <f>tertiair!G16</f>
        <v>0</v>
      </c>
      <c r="H5" s="449">
        <f>tertiair!H16</f>
        <v>0</v>
      </c>
      <c r="I5" s="449">
        <f>tertiair!I16</f>
        <v>0</v>
      </c>
      <c r="J5" s="449">
        <f>tertiair!J16</f>
        <v>0</v>
      </c>
      <c r="K5" s="449">
        <f>tertiair!K16</f>
        <v>0</v>
      </c>
      <c r="L5" s="449">
        <f ca="1">tertiair!L16</f>
        <v>0</v>
      </c>
      <c r="M5" s="449">
        <f>tertiair!M16</f>
        <v>0</v>
      </c>
      <c r="N5" s="449">
        <f ca="1">tertiair!N16</f>
        <v>581.3975207764247</v>
      </c>
      <c r="O5" s="449">
        <f>tertiair!O16</f>
        <v>1.5633333333333335</v>
      </c>
      <c r="P5" s="450">
        <f>tertiair!P16</f>
        <v>19.066666666666666</v>
      </c>
      <c r="Q5" s="448">
        <f t="shared" ref="Q5:Q14" ca="1" si="0">SUM(B5:P5)</f>
        <v>23716.73431634267</v>
      </c>
    </row>
    <row r="6" spans="1:17">
      <c r="A6" s="448" t="s">
        <v>193</v>
      </c>
      <c r="B6" s="449">
        <f>'openbare verlichting'!B8</f>
        <v>1011.793</v>
      </c>
      <c r="C6" s="449"/>
      <c r="D6" s="449"/>
      <c r="E6" s="449"/>
      <c r="F6" s="449"/>
      <c r="G6" s="449"/>
      <c r="H6" s="449"/>
      <c r="I6" s="449"/>
      <c r="J6" s="449"/>
      <c r="K6" s="449"/>
      <c r="L6" s="449"/>
      <c r="M6" s="449"/>
      <c r="N6" s="449"/>
      <c r="O6" s="449"/>
      <c r="P6" s="450"/>
      <c r="Q6" s="448">
        <f t="shared" si="0"/>
        <v>1011.793</v>
      </c>
    </row>
    <row r="7" spans="1:17">
      <c r="A7" s="448" t="s">
        <v>111</v>
      </c>
      <c r="B7" s="449">
        <f>landbouw!B8</f>
        <v>118.68171820800379</v>
      </c>
      <c r="C7" s="449">
        <f>landbouw!C8</f>
        <v>0</v>
      </c>
      <c r="D7" s="449">
        <f>landbouw!D8</f>
        <v>40.334727275545077</v>
      </c>
      <c r="E7" s="449">
        <f>landbouw!E8</f>
        <v>1.1180613048790766</v>
      </c>
      <c r="F7" s="449">
        <f>landbouw!F8</f>
        <v>387.29783351589452</v>
      </c>
      <c r="G7" s="449">
        <f>landbouw!G8</f>
        <v>0</v>
      </c>
      <c r="H7" s="449">
        <f>landbouw!H8</f>
        <v>0</v>
      </c>
      <c r="I7" s="449">
        <f>landbouw!I8</f>
        <v>0</v>
      </c>
      <c r="J7" s="449">
        <f>landbouw!J8</f>
        <v>14.681505810096548</v>
      </c>
      <c r="K7" s="449">
        <f>landbouw!K8</f>
        <v>0</v>
      </c>
      <c r="L7" s="449">
        <f>landbouw!L8</f>
        <v>0</v>
      </c>
      <c r="M7" s="449">
        <f>landbouw!M8</f>
        <v>0</v>
      </c>
      <c r="N7" s="449">
        <f>landbouw!N8</f>
        <v>0</v>
      </c>
      <c r="O7" s="449">
        <f>landbouw!O8</f>
        <v>0</v>
      </c>
      <c r="P7" s="450">
        <f>landbouw!P8</f>
        <v>0</v>
      </c>
      <c r="Q7" s="448">
        <f t="shared" si="0"/>
        <v>562.11384611441895</v>
      </c>
    </row>
    <row r="8" spans="1:17">
      <c r="A8" s="448" t="s">
        <v>671</v>
      </c>
      <c r="B8" s="449">
        <f>industrie!B18</f>
        <v>793.23580995770601</v>
      </c>
      <c r="C8" s="449">
        <f>industrie!C18</f>
        <v>0</v>
      </c>
      <c r="D8" s="449">
        <f>industrie!D18</f>
        <v>421.83867686476253</v>
      </c>
      <c r="E8" s="449">
        <f>industrie!E18</f>
        <v>5.8677294932103887</v>
      </c>
      <c r="F8" s="449">
        <f>industrie!F18</f>
        <v>389.76212557781793</v>
      </c>
      <c r="G8" s="449">
        <f>industrie!G18</f>
        <v>0</v>
      </c>
      <c r="H8" s="449">
        <f>industrie!H18</f>
        <v>0</v>
      </c>
      <c r="I8" s="449">
        <f>industrie!I18</f>
        <v>0</v>
      </c>
      <c r="J8" s="449">
        <f>industrie!J18</f>
        <v>2.5115633065998946</v>
      </c>
      <c r="K8" s="449">
        <f>industrie!K18</f>
        <v>0</v>
      </c>
      <c r="L8" s="449">
        <f>industrie!L18</f>
        <v>0</v>
      </c>
      <c r="M8" s="449">
        <f>industrie!M18</f>
        <v>0</v>
      </c>
      <c r="N8" s="449">
        <f>industrie!N18</f>
        <v>41.009536158250157</v>
      </c>
      <c r="O8" s="449">
        <f>industrie!O18</f>
        <v>0</v>
      </c>
      <c r="P8" s="450">
        <f>industrie!P18</f>
        <v>0</v>
      </c>
      <c r="Q8" s="448">
        <f t="shared" si="0"/>
        <v>1654.2254413583466</v>
      </c>
    </row>
    <row r="9" spans="1:17" s="454" customFormat="1">
      <c r="A9" s="452" t="s">
        <v>568</v>
      </c>
      <c r="B9" s="453">
        <f>transport!B14</f>
        <v>2.0074846906408044</v>
      </c>
      <c r="C9" s="453">
        <f>transport!C14</f>
        <v>0</v>
      </c>
      <c r="D9" s="453">
        <f>transport!D14</f>
        <v>3.767005125972049</v>
      </c>
      <c r="E9" s="453">
        <f>transport!E14</f>
        <v>231.6372688664153</v>
      </c>
      <c r="F9" s="453">
        <f>transport!F14</f>
        <v>0</v>
      </c>
      <c r="G9" s="453">
        <f>transport!G14</f>
        <v>38056.188055482366</v>
      </c>
      <c r="H9" s="453">
        <f>transport!H14</f>
        <v>8762.5281096250474</v>
      </c>
      <c r="I9" s="453">
        <f>transport!I14</f>
        <v>0</v>
      </c>
      <c r="J9" s="453">
        <f>transport!J14</f>
        <v>0</v>
      </c>
      <c r="K9" s="453">
        <f>transport!K14</f>
        <v>0</v>
      </c>
      <c r="L9" s="453">
        <f>transport!L14</f>
        <v>0</v>
      </c>
      <c r="M9" s="453">
        <f>transport!M14</f>
        <v>2094.7085829643097</v>
      </c>
      <c r="N9" s="453">
        <f>transport!N14</f>
        <v>0</v>
      </c>
      <c r="O9" s="453">
        <f>transport!O14</f>
        <v>0</v>
      </c>
      <c r="P9" s="453">
        <f>transport!P14</f>
        <v>0</v>
      </c>
      <c r="Q9" s="452">
        <f>SUM(B9:P9)</f>
        <v>49150.836506754749</v>
      </c>
    </row>
    <row r="10" spans="1:17">
      <c r="A10" s="448" t="s">
        <v>558</v>
      </c>
      <c r="B10" s="449">
        <f>transport!B54</f>
        <v>6.9609833118985716</v>
      </c>
      <c r="C10" s="449">
        <f>transport!C54</f>
        <v>0</v>
      </c>
      <c r="D10" s="449">
        <f>transport!D54</f>
        <v>0</v>
      </c>
      <c r="E10" s="449">
        <f>transport!E54</f>
        <v>0</v>
      </c>
      <c r="F10" s="449">
        <f>transport!F54</f>
        <v>0</v>
      </c>
      <c r="G10" s="449">
        <f>transport!G54</f>
        <v>1388.3818455916555</v>
      </c>
      <c r="H10" s="449">
        <f>transport!H54</f>
        <v>0</v>
      </c>
      <c r="I10" s="449">
        <f>transport!I54</f>
        <v>0</v>
      </c>
      <c r="J10" s="449">
        <f>transport!J54</f>
        <v>0</v>
      </c>
      <c r="K10" s="449">
        <f>transport!K54</f>
        <v>0</v>
      </c>
      <c r="L10" s="449">
        <f>transport!L54</f>
        <v>0</v>
      </c>
      <c r="M10" s="449">
        <f>transport!M54</f>
        <v>61.364998865480324</v>
      </c>
      <c r="N10" s="449">
        <f>transport!N54</f>
        <v>0</v>
      </c>
      <c r="O10" s="449">
        <f>transport!O54</f>
        <v>0</v>
      </c>
      <c r="P10" s="450">
        <f>transport!P54</f>
        <v>0</v>
      </c>
      <c r="Q10" s="448">
        <f t="shared" si="0"/>
        <v>1456.7078277690346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930.26625004245102</v>
      </c>
      <c r="C14" s="456"/>
      <c r="D14" s="456">
        <f>'SEAP template'!E25</f>
        <v>4751.2542789830504</v>
      </c>
      <c r="E14" s="456"/>
      <c r="F14" s="456"/>
      <c r="G14" s="456"/>
      <c r="H14" s="456"/>
      <c r="I14" s="456"/>
      <c r="J14" s="456"/>
      <c r="K14" s="456"/>
      <c r="L14" s="456"/>
      <c r="M14" s="456"/>
      <c r="N14" s="456"/>
      <c r="O14" s="456"/>
      <c r="P14" s="457"/>
      <c r="Q14" s="448">
        <f t="shared" si="0"/>
        <v>5681.5205290255017</v>
      </c>
    </row>
    <row r="15" spans="1:17" s="461" customFormat="1">
      <c r="A15" s="458" t="s">
        <v>562</v>
      </c>
      <c r="B15" s="459">
        <f ca="1">SUM(B4:B14)</f>
        <v>45687.010043116978</v>
      </c>
      <c r="C15" s="459">
        <f t="shared" ref="C15:Q15" ca="1" si="1">SUM(C4:C14)</f>
        <v>160.71428571428572</v>
      </c>
      <c r="D15" s="459">
        <f t="shared" ca="1" si="1"/>
        <v>41975.943823509071</v>
      </c>
      <c r="E15" s="459">
        <f t="shared" si="1"/>
        <v>2227.1201501821934</v>
      </c>
      <c r="F15" s="459">
        <f t="shared" ca="1" si="1"/>
        <v>59347.322149305648</v>
      </c>
      <c r="G15" s="459">
        <f t="shared" si="1"/>
        <v>39444.569901074021</v>
      </c>
      <c r="H15" s="459">
        <f t="shared" si="1"/>
        <v>8762.5281096250474</v>
      </c>
      <c r="I15" s="459">
        <f t="shared" si="1"/>
        <v>0</v>
      </c>
      <c r="J15" s="459">
        <f t="shared" si="1"/>
        <v>1035.6770418682934</v>
      </c>
      <c r="K15" s="459">
        <f t="shared" si="1"/>
        <v>0</v>
      </c>
      <c r="L15" s="459">
        <f t="shared" ca="1" si="1"/>
        <v>0</v>
      </c>
      <c r="M15" s="459">
        <f t="shared" si="1"/>
        <v>2156.0735818297899</v>
      </c>
      <c r="N15" s="459">
        <f t="shared" ca="1" si="1"/>
        <v>8450.4539305281432</v>
      </c>
      <c r="O15" s="459">
        <f t="shared" si="1"/>
        <v>100.05333333333334</v>
      </c>
      <c r="P15" s="459">
        <f t="shared" si="1"/>
        <v>286</v>
      </c>
      <c r="Q15" s="459">
        <f t="shared" ca="1" si="1"/>
        <v>209633.46635008682</v>
      </c>
    </row>
    <row r="17" spans="1:17">
      <c r="A17" s="462" t="s">
        <v>563</v>
      </c>
      <c r="B17" s="766">
        <f ca="1">huishoudens!B10</f>
        <v>0.2138777145835942</v>
      </c>
      <c r="C17" s="766">
        <f ca="1">huishoudens!C10</f>
        <v>0.23764705882352946</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6469.6731465336861</v>
      </c>
      <c r="C22" s="449">
        <f t="shared" ref="C22:C32" ca="1" si="3">C4*$C$17</f>
        <v>0</v>
      </c>
      <c r="D22" s="449">
        <f t="shared" ref="D22:D32" si="4">D4*$D$17</f>
        <v>5851.0645817485301</v>
      </c>
      <c r="E22" s="449">
        <f t="shared" ref="E22:E32" si="5">E4*$E$17</f>
        <v>417.94136376201948</v>
      </c>
      <c r="F22" s="449">
        <f t="shared" ref="F22:F32" si="6">F4*$F$17</f>
        <v>14987.073183129805</v>
      </c>
      <c r="G22" s="449">
        <f t="shared" ref="G22:G32" si="7">G4*$G$17</f>
        <v>0</v>
      </c>
      <c r="H22" s="449">
        <f t="shared" ref="H22:H32" si="8">H4*$H$17</f>
        <v>0</v>
      </c>
      <c r="I22" s="449">
        <f t="shared" ref="I22:I32" si="9">I4*$I$17</f>
        <v>0</v>
      </c>
      <c r="J22" s="449">
        <f t="shared" ref="J22:J32" si="10">J4*$J$17</f>
        <v>360.54332635406536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28086.295601528105</v>
      </c>
    </row>
    <row r="23" spans="1:17">
      <c r="A23" s="448" t="s">
        <v>155</v>
      </c>
      <c r="B23" s="449">
        <f t="shared" ca="1" si="2"/>
        <v>2689.4399614083804</v>
      </c>
      <c r="C23" s="449">
        <f t="shared" ca="1" si="3"/>
        <v>38.19327731092438</v>
      </c>
      <c r="D23" s="449">
        <f t="shared" ca="1" si="4"/>
        <v>1574.202743573939</v>
      </c>
      <c r="E23" s="449">
        <f t="shared" si="5"/>
        <v>33.447475785495875</v>
      </c>
      <c r="F23" s="449">
        <f t="shared" ca="1" si="6"/>
        <v>651.18682165678206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4986.4702797355212</v>
      </c>
    </row>
    <row r="24" spans="1:17">
      <c r="A24" s="448" t="s">
        <v>193</v>
      </c>
      <c r="B24" s="449">
        <f t="shared" ca="1" si="2"/>
        <v>216.39997447167852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216.39997447167852</v>
      </c>
    </row>
    <row r="25" spans="1:17">
      <c r="A25" s="448" t="s">
        <v>111</v>
      </c>
      <c r="B25" s="449">
        <f t="shared" ca="1" si="2"/>
        <v>25.383374653181988</v>
      </c>
      <c r="C25" s="449">
        <f t="shared" ca="1" si="3"/>
        <v>0</v>
      </c>
      <c r="D25" s="449">
        <f t="shared" si="4"/>
        <v>8.1476149096601063</v>
      </c>
      <c r="E25" s="449">
        <f t="shared" si="5"/>
        <v>0.25379991620755038</v>
      </c>
      <c r="F25" s="449">
        <f t="shared" si="6"/>
        <v>103.40852154874385</v>
      </c>
      <c r="G25" s="449">
        <f t="shared" si="7"/>
        <v>0</v>
      </c>
      <c r="H25" s="449">
        <f t="shared" si="8"/>
        <v>0</v>
      </c>
      <c r="I25" s="449">
        <f t="shared" si="9"/>
        <v>0</v>
      </c>
      <c r="J25" s="449">
        <f t="shared" si="10"/>
        <v>5.1972530567741773</v>
      </c>
      <c r="K25" s="449">
        <f t="shared" si="11"/>
        <v>0</v>
      </c>
      <c r="L25" s="449">
        <f t="shared" si="12"/>
        <v>0</v>
      </c>
      <c r="M25" s="449">
        <f t="shared" si="13"/>
        <v>0</v>
      </c>
      <c r="N25" s="449">
        <f t="shared" si="14"/>
        <v>0</v>
      </c>
      <c r="O25" s="449">
        <f t="shared" si="15"/>
        <v>0</v>
      </c>
      <c r="P25" s="450">
        <f t="shared" si="16"/>
        <v>0</v>
      </c>
      <c r="Q25" s="448">
        <f t="shared" ca="1" si="17"/>
        <v>142.39056408456767</v>
      </c>
    </row>
    <row r="26" spans="1:17">
      <c r="A26" s="448" t="s">
        <v>671</v>
      </c>
      <c r="B26" s="449">
        <f t="shared" ca="1" si="2"/>
        <v>169.65546215962041</v>
      </c>
      <c r="C26" s="449">
        <f t="shared" ca="1" si="3"/>
        <v>0</v>
      </c>
      <c r="D26" s="449">
        <f t="shared" si="4"/>
        <v>85.211412726682042</v>
      </c>
      <c r="E26" s="449">
        <f t="shared" si="5"/>
        <v>1.3319745949587583</v>
      </c>
      <c r="F26" s="449">
        <f t="shared" si="6"/>
        <v>104.0664875292774</v>
      </c>
      <c r="G26" s="449">
        <f t="shared" si="7"/>
        <v>0</v>
      </c>
      <c r="H26" s="449">
        <f t="shared" si="8"/>
        <v>0</v>
      </c>
      <c r="I26" s="449">
        <f t="shared" si="9"/>
        <v>0</v>
      </c>
      <c r="J26" s="449">
        <f t="shared" si="10"/>
        <v>0.88909341053636259</v>
      </c>
      <c r="K26" s="449">
        <f t="shared" si="11"/>
        <v>0</v>
      </c>
      <c r="L26" s="449">
        <f t="shared" si="12"/>
        <v>0</v>
      </c>
      <c r="M26" s="449">
        <f t="shared" si="13"/>
        <v>0</v>
      </c>
      <c r="N26" s="449">
        <f t="shared" si="14"/>
        <v>0</v>
      </c>
      <c r="O26" s="449">
        <f t="shared" si="15"/>
        <v>0</v>
      </c>
      <c r="P26" s="450">
        <f t="shared" si="16"/>
        <v>0</v>
      </c>
      <c r="Q26" s="448">
        <f t="shared" ca="1" si="17"/>
        <v>361.15443042107495</v>
      </c>
    </row>
    <row r="27" spans="1:17" s="454" customFormat="1">
      <c r="A27" s="452" t="s">
        <v>568</v>
      </c>
      <c r="B27" s="760">
        <f t="shared" ca="1" si="2"/>
        <v>0.42935623769580883</v>
      </c>
      <c r="C27" s="453">
        <f t="shared" ca="1" si="3"/>
        <v>0</v>
      </c>
      <c r="D27" s="453">
        <f t="shared" si="4"/>
        <v>0.76093503544635399</v>
      </c>
      <c r="E27" s="453">
        <f t="shared" si="5"/>
        <v>52.581660032676275</v>
      </c>
      <c r="F27" s="453">
        <f t="shared" si="6"/>
        <v>0</v>
      </c>
      <c r="G27" s="453">
        <f t="shared" si="7"/>
        <v>10161.002210813793</v>
      </c>
      <c r="H27" s="453">
        <f t="shared" si="8"/>
        <v>2181.8694992966366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12396.643661416249</v>
      </c>
    </row>
    <row r="28" spans="1:17">
      <c r="A28" s="448" t="s">
        <v>558</v>
      </c>
      <c r="B28" s="449">
        <f t="shared" ca="1" si="2"/>
        <v>1.4887992020034049</v>
      </c>
      <c r="C28" s="449">
        <f t="shared" ca="1" si="3"/>
        <v>0</v>
      </c>
      <c r="D28" s="449">
        <f t="shared" si="4"/>
        <v>0</v>
      </c>
      <c r="E28" s="449">
        <f t="shared" si="5"/>
        <v>0</v>
      </c>
      <c r="F28" s="449">
        <f t="shared" si="6"/>
        <v>0</v>
      </c>
      <c r="G28" s="449">
        <f t="shared" si="7"/>
        <v>370.69795277297203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372.18675197497544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198.96321951332982</v>
      </c>
      <c r="C32" s="449">
        <f t="shared" ca="1" si="3"/>
        <v>0</v>
      </c>
      <c r="D32" s="449">
        <f t="shared" si="4"/>
        <v>959.75336435457621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1158.7165838679061</v>
      </c>
    </row>
    <row r="33" spans="1:17" s="461" customFormat="1">
      <c r="A33" s="458" t="s">
        <v>562</v>
      </c>
      <c r="B33" s="459">
        <f ca="1">SUM(B22:B32)</f>
        <v>9771.4332941795747</v>
      </c>
      <c r="C33" s="459">
        <f t="shared" ref="C33:Q33" ca="1" si="18">SUM(C22:C32)</f>
        <v>38.19327731092438</v>
      </c>
      <c r="D33" s="459">
        <f t="shared" ca="1" si="18"/>
        <v>8479.1406523488331</v>
      </c>
      <c r="E33" s="459">
        <f t="shared" si="18"/>
        <v>505.55627409135792</v>
      </c>
      <c r="F33" s="459">
        <f t="shared" ca="1" si="18"/>
        <v>15845.735013864607</v>
      </c>
      <c r="G33" s="459">
        <f t="shared" si="18"/>
        <v>10531.700163586765</v>
      </c>
      <c r="H33" s="459">
        <f t="shared" si="18"/>
        <v>2181.8694992966366</v>
      </c>
      <c r="I33" s="459">
        <f t="shared" si="18"/>
        <v>0</v>
      </c>
      <c r="J33" s="459">
        <f t="shared" si="18"/>
        <v>366.62967282137589</v>
      </c>
      <c r="K33" s="459">
        <f t="shared" si="18"/>
        <v>0</v>
      </c>
      <c r="L33" s="459">
        <f t="shared" ca="1" si="18"/>
        <v>0</v>
      </c>
      <c r="M33" s="459">
        <f t="shared" si="18"/>
        <v>0</v>
      </c>
      <c r="N33" s="459">
        <f t="shared" ca="1" si="18"/>
        <v>0</v>
      </c>
      <c r="O33" s="459">
        <f t="shared" si="18"/>
        <v>0</v>
      </c>
      <c r="P33" s="459">
        <f t="shared" si="18"/>
        <v>0</v>
      </c>
      <c r="Q33" s="459">
        <f t="shared" ca="1" si="18"/>
        <v>47720.257847500085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1480.8539342394788</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112.5</v>
      </c>
      <c r="D8" s="1015">
        <f>'SEAP template'!D76</f>
        <v>132.35294117647058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26.735294117647058</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1480.8539342394788</v>
      </c>
      <c r="C10" s="1019">
        <f>SUM(C4:C9)</f>
        <v>112.5</v>
      </c>
      <c r="D10" s="1019">
        <f t="shared" ref="D10:H10" si="0">SUM(D8:D9)</f>
        <v>132.35294117647058</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26.735294117647058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0.2138777145835942</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160.71428571428572</v>
      </c>
      <c r="D17" s="1016">
        <f>'SEAP template'!D87</f>
        <v>189.07563025210086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38.19327731092438</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160.71428571428572</v>
      </c>
      <c r="D20" s="1019">
        <f t="shared" ref="D20:H20" si="2">SUM(D17:D19)</f>
        <v>189.07563025210086</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38.19327731092438</v>
      </c>
    </row>
    <row r="22" spans="1:16">
      <c r="A22" s="462" t="s">
        <v>899</v>
      </c>
      <c r="B22" s="766" t="s">
        <v>893</v>
      </c>
      <c r="C22" s="76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0.2138777145835942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0.2138777145835942</v>
      </c>
      <c r="C17" s="498">
        <f ca="1">'EF ele_warmte'!B22</f>
        <v>0.23764705882352946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0.2138777145835942</v>
      </c>
      <c r="C29" s="499">
        <f ca="1">'EF ele_warmte'!B22</f>
        <v>0.23764705882352946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221</v>
      </c>
      <c r="C14" s="327"/>
      <c r="D14" s="327"/>
      <c r="E14" s="327"/>
      <c r="F14" s="327"/>
    </row>
    <row r="15" spans="1:6">
      <c r="A15" s="1295" t="s">
        <v>183</v>
      </c>
      <c r="B15" s="1296">
        <v>0</v>
      </c>
      <c r="C15" s="327"/>
      <c r="D15" s="327"/>
      <c r="E15" s="327"/>
      <c r="F15" s="327"/>
    </row>
    <row r="16" spans="1:6">
      <c r="A16" s="1295" t="s">
        <v>6</v>
      </c>
      <c r="B16" s="1296">
        <v>64</v>
      </c>
      <c r="C16" s="327"/>
      <c r="D16" s="327"/>
      <c r="E16" s="327"/>
      <c r="F16" s="327"/>
    </row>
    <row r="17" spans="1:6">
      <c r="A17" s="1295" t="s">
        <v>7</v>
      </c>
      <c r="B17" s="1296">
        <v>24</v>
      </c>
      <c r="C17" s="327"/>
      <c r="D17" s="327"/>
      <c r="E17" s="327"/>
      <c r="F17" s="327"/>
    </row>
    <row r="18" spans="1:6">
      <c r="A18" s="1295" t="s">
        <v>8</v>
      </c>
      <c r="B18" s="1296">
        <v>75</v>
      </c>
      <c r="C18" s="327"/>
      <c r="D18" s="327"/>
      <c r="E18" s="327"/>
      <c r="F18" s="327"/>
    </row>
    <row r="19" spans="1:6">
      <c r="A19" s="1295" t="s">
        <v>9</v>
      </c>
      <c r="B19" s="1296">
        <v>61</v>
      </c>
      <c r="C19" s="327"/>
      <c r="D19" s="327"/>
      <c r="E19" s="327"/>
      <c r="F19" s="327"/>
    </row>
    <row r="20" spans="1:6">
      <c r="A20" s="1295" t="s">
        <v>10</v>
      </c>
      <c r="B20" s="1296">
        <v>57</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77</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39</v>
      </c>
      <c r="C29" s="333"/>
      <c r="D29" s="333"/>
      <c r="E29" s="333"/>
      <c r="F29" s="333"/>
    </row>
    <row r="30" spans="1:6">
      <c r="A30" s="1290" t="s">
        <v>962</v>
      </c>
      <c r="B30" s="1299">
        <v>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6893.6720010498002</v>
      </c>
    </row>
    <row r="39" spans="1:6">
      <c r="A39" s="1295" t="s">
        <v>29</v>
      </c>
      <c r="B39" s="1295" t="s">
        <v>30</v>
      </c>
      <c r="C39" s="1296">
        <v>1517</v>
      </c>
      <c r="D39" s="1296">
        <v>32112712.0247005</v>
      </c>
      <c r="E39" s="1296">
        <v>4828</v>
      </c>
      <c r="F39" s="1296">
        <v>28768548.9038716</v>
      </c>
    </row>
    <row r="40" spans="1:6">
      <c r="A40" s="1295" t="s">
        <v>29</v>
      </c>
      <c r="B40" s="1295" t="s">
        <v>28</v>
      </c>
      <c r="C40" s="1296">
        <v>0</v>
      </c>
      <c r="D40" s="1296">
        <v>0</v>
      </c>
      <c r="E40" s="1296">
        <v>0</v>
      </c>
      <c r="F40" s="1296">
        <v>0</v>
      </c>
    </row>
    <row r="41" spans="1:6">
      <c r="A41" s="1295" t="s">
        <v>31</v>
      </c>
      <c r="B41" s="1295" t="s">
        <v>32</v>
      </c>
      <c r="C41" s="1296">
        <v>6</v>
      </c>
      <c r="D41" s="1296">
        <v>165206.59395939999</v>
      </c>
      <c r="E41" s="1296">
        <v>54</v>
      </c>
      <c r="F41" s="1296">
        <v>394643.921695753</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41320.709962339999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9</v>
      </c>
      <c r="D48" s="1296">
        <v>302463.77950485999</v>
      </c>
      <c r="E48" s="1296">
        <v>22</v>
      </c>
      <c r="F48" s="1296">
        <v>357271.17829961301</v>
      </c>
    </row>
    <row r="49" spans="1:6">
      <c r="A49" s="1295" t="s">
        <v>31</v>
      </c>
      <c r="B49" s="1295" t="s">
        <v>39</v>
      </c>
      <c r="C49" s="1296">
        <v>0</v>
      </c>
      <c r="D49" s="1296">
        <v>0</v>
      </c>
      <c r="E49" s="1296">
        <v>0</v>
      </c>
      <c r="F49" s="1296">
        <v>0</v>
      </c>
    </row>
    <row r="50" spans="1:6">
      <c r="A50" s="1295" t="s">
        <v>31</v>
      </c>
      <c r="B50" s="1295" t="s">
        <v>40</v>
      </c>
      <c r="C50" s="1296">
        <v>0</v>
      </c>
      <c r="D50" s="1296">
        <v>0</v>
      </c>
      <c r="E50" s="1296">
        <v>0</v>
      </c>
      <c r="F50" s="1296">
        <v>0</v>
      </c>
    </row>
    <row r="51" spans="1:6">
      <c r="A51" s="1295" t="s">
        <v>41</v>
      </c>
      <c r="B51" s="1295" t="s">
        <v>42</v>
      </c>
      <c r="C51" s="1296">
        <v>0</v>
      </c>
      <c r="D51" s="1296">
        <v>0</v>
      </c>
      <c r="E51" s="1296">
        <v>12</v>
      </c>
      <c r="F51" s="1296">
        <v>76666.997482252395</v>
      </c>
    </row>
    <row r="52" spans="1:6">
      <c r="A52" s="1295" t="s">
        <v>41</v>
      </c>
      <c r="B52" s="1295" t="s">
        <v>28</v>
      </c>
      <c r="C52" s="1296">
        <v>2</v>
      </c>
      <c r="D52" s="1296">
        <v>44716.992544950197</v>
      </c>
      <c r="E52" s="1296">
        <v>4</v>
      </c>
      <c r="F52" s="1296">
        <v>42014.720725751402</v>
      </c>
    </row>
    <row r="53" spans="1:6">
      <c r="A53" s="1295" t="s">
        <v>43</v>
      </c>
      <c r="B53" s="1295" t="s">
        <v>44</v>
      </c>
      <c r="C53" s="1296">
        <v>43</v>
      </c>
      <c r="D53" s="1296">
        <v>4751254.27898305</v>
      </c>
      <c r="E53" s="1296">
        <v>124</v>
      </c>
      <c r="F53" s="1296">
        <v>930266.25004245096</v>
      </c>
    </row>
    <row r="54" spans="1:6">
      <c r="A54" s="1295" t="s">
        <v>45</v>
      </c>
      <c r="B54" s="1295" t="s">
        <v>46</v>
      </c>
      <c r="C54" s="1296">
        <v>0</v>
      </c>
      <c r="D54" s="1296">
        <v>0</v>
      </c>
      <c r="E54" s="1296">
        <v>1</v>
      </c>
      <c r="F54" s="1296">
        <v>1011793</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8</v>
      </c>
      <c r="D57" s="1296">
        <v>148524.06686249</v>
      </c>
      <c r="E57" s="1296">
        <v>40</v>
      </c>
      <c r="F57" s="1296">
        <v>701973.57190257497</v>
      </c>
    </row>
    <row r="58" spans="1:6">
      <c r="A58" s="1295" t="s">
        <v>48</v>
      </c>
      <c r="B58" s="1295" t="s">
        <v>50</v>
      </c>
      <c r="C58" s="1296">
        <v>11</v>
      </c>
      <c r="D58" s="1296">
        <v>349825.24556028302</v>
      </c>
      <c r="E58" s="1296">
        <v>25</v>
      </c>
      <c r="F58" s="1296">
        <v>348425.59143422899</v>
      </c>
    </row>
    <row r="59" spans="1:6">
      <c r="A59" s="1295" t="s">
        <v>48</v>
      </c>
      <c r="B59" s="1295" t="s">
        <v>51</v>
      </c>
      <c r="C59" s="1296">
        <v>10</v>
      </c>
      <c r="D59" s="1296">
        <v>149660.35651283801</v>
      </c>
      <c r="E59" s="1296">
        <v>105</v>
      </c>
      <c r="F59" s="1296">
        <v>3529684.44125921</v>
      </c>
    </row>
    <row r="60" spans="1:6">
      <c r="A60" s="1295" t="s">
        <v>48</v>
      </c>
      <c r="B60" s="1295" t="s">
        <v>52</v>
      </c>
      <c r="C60" s="1296">
        <v>18</v>
      </c>
      <c r="D60" s="1296">
        <v>1199727.7820108801</v>
      </c>
      <c r="E60" s="1296">
        <v>57</v>
      </c>
      <c r="F60" s="1296">
        <v>1854055.42718702</v>
      </c>
    </row>
    <row r="61" spans="1:6">
      <c r="A61" s="1295" t="s">
        <v>48</v>
      </c>
      <c r="B61" s="1295" t="s">
        <v>53</v>
      </c>
      <c r="C61" s="1296">
        <v>52</v>
      </c>
      <c r="D61" s="1296">
        <v>2296375.38177703</v>
      </c>
      <c r="E61" s="1296">
        <v>287</v>
      </c>
      <c r="F61" s="1296">
        <v>3428250.5773743102</v>
      </c>
    </row>
    <row r="62" spans="1:6">
      <c r="A62" s="1295" t="s">
        <v>48</v>
      </c>
      <c r="B62" s="1295" t="s">
        <v>54</v>
      </c>
      <c r="C62" s="1296">
        <v>5</v>
      </c>
      <c r="D62" s="1296">
        <v>345191.82607592503</v>
      </c>
      <c r="E62" s="1296">
        <v>10</v>
      </c>
      <c r="F62" s="1296">
        <v>255689.546643579</v>
      </c>
    </row>
    <row r="63" spans="1:6">
      <c r="A63" s="1295" t="s">
        <v>48</v>
      </c>
      <c r="B63" s="1295" t="s">
        <v>28</v>
      </c>
      <c r="C63" s="1296">
        <v>67</v>
      </c>
      <c r="D63" s="1296">
        <v>4506827.7806777898</v>
      </c>
      <c r="E63" s="1296">
        <v>89</v>
      </c>
      <c r="F63" s="1296">
        <v>2344082.8029942801</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4587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88951.682785207493</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538533</v>
      </c>
      <c r="E73" s="447"/>
      <c r="F73" s="327"/>
    </row>
    <row r="74" spans="1:6">
      <c r="A74" s="1295" t="s">
        <v>63</v>
      </c>
      <c r="B74" s="1295" t="s">
        <v>755</v>
      </c>
      <c r="C74" s="1309" t="s">
        <v>749</v>
      </c>
      <c r="D74" s="1310">
        <v>6591.5</v>
      </c>
      <c r="E74" s="447"/>
      <c r="F74" s="327"/>
    </row>
    <row r="75" spans="1:6">
      <c r="A75" s="1295" t="s">
        <v>64</v>
      </c>
      <c r="B75" s="1295" t="s">
        <v>754</v>
      </c>
      <c r="C75" s="1309" t="s">
        <v>750</v>
      </c>
      <c r="D75" s="1310">
        <v>48317226</v>
      </c>
      <c r="E75" s="447"/>
      <c r="F75" s="327"/>
    </row>
    <row r="76" spans="1:6">
      <c r="A76" s="1295" t="s">
        <v>64</v>
      </c>
      <c r="B76" s="1295" t="s">
        <v>755</v>
      </c>
      <c r="C76" s="1309" t="s">
        <v>751</v>
      </c>
      <c r="D76" s="1310">
        <v>1160173.2472650704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383501.50546985905</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1480.8539342394788</v>
      </c>
      <c r="C91" s="327"/>
      <c r="D91" s="327"/>
      <c r="E91" s="327"/>
      <c r="F91" s="327"/>
    </row>
    <row r="92" spans="1:6">
      <c r="A92" s="1290" t="s">
        <v>68</v>
      </c>
      <c r="B92" s="1291">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317</v>
      </c>
      <c r="C97" s="327"/>
      <c r="D97" s="327"/>
      <c r="E97" s="327"/>
      <c r="F97" s="327"/>
    </row>
    <row r="98" spans="1:6">
      <c r="A98" s="1295" t="s">
        <v>71</v>
      </c>
      <c r="B98" s="1296">
        <v>1</v>
      </c>
      <c r="C98" s="327"/>
      <c r="D98" s="327"/>
      <c r="E98" s="327"/>
      <c r="F98" s="327"/>
    </row>
    <row r="99" spans="1:6">
      <c r="A99" s="1295" t="s">
        <v>72</v>
      </c>
      <c r="B99" s="1296">
        <v>85</v>
      </c>
      <c r="C99" s="327"/>
      <c r="D99" s="327"/>
      <c r="E99" s="327"/>
      <c r="F99" s="327"/>
    </row>
    <row r="100" spans="1:6">
      <c r="A100" s="1295" t="s">
        <v>73</v>
      </c>
      <c r="B100" s="1296">
        <v>480</v>
      </c>
      <c r="C100" s="327"/>
      <c r="D100" s="327"/>
      <c r="E100" s="327"/>
      <c r="F100" s="327"/>
    </row>
    <row r="101" spans="1:6">
      <c r="A101" s="1295" t="s">
        <v>74</v>
      </c>
      <c r="B101" s="1296">
        <v>35</v>
      </c>
      <c r="C101" s="327"/>
      <c r="D101" s="327"/>
      <c r="E101" s="327"/>
      <c r="F101" s="327"/>
    </row>
    <row r="102" spans="1:6">
      <c r="A102" s="1295" t="s">
        <v>75</v>
      </c>
      <c r="B102" s="1296">
        <v>38</v>
      </c>
      <c r="C102" s="327"/>
      <c r="D102" s="327"/>
      <c r="E102" s="327"/>
      <c r="F102" s="327"/>
    </row>
    <row r="103" spans="1:6">
      <c r="A103" s="1295" t="s">
        <v>76</v>
      </c>
      <c r="B103" s="1296">
        <v>100</v>
      </c>
      <c r="C103" s="327"/>
      <c r="D103" s="327"/>
      <c r="E103" s="327"/>
      <c r="F103" s="327"/>
    </row>
    <row r="104" spans="1:6">
      <c r="A104" s="1295" t="s">
        <v>77</v>
      </c>
      <c r="B104" s="1296">
        <v>3389</v>
      </c>
      <c r="C104" s="327"/>
      <c r="D104" s="327"/>
      <c r="E104" s="327"/>
      <c r="F104" s="327"/>
    </row>
    <row r="105" spans="1:6">
      <c r="A105" s="1290" t="s">
        <v>78</v>
      </c>
      <c r="B105" s="1299">
        <v>17</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2</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61</v>
      </c>
      <c r="C129" s="327"/>
      <c r="D129" s="327"/>
      <c r="E129" s="327"/>
      <c r="F129" s="327"/>
    </row>
    <row r="130" spans="1:6">
      <c r="A130" s="1295" t="s">
        <v>290</v>
      </c>
      <c r="B130" s="1296">
        <v>1</v>
      </c>
      <c r="C130" s="327"/>
      <c r="D130" s="327"/>
      <c r="E130" s="327"/>
      <c r="F130" s="327"/>
    </row>
    <row r="131" spans="1:6">
      <c r="A131" s="1295" t="s">
        <v>291</v>
      </c>
      <c r="B131" s="1296">
        <v>1</v>
      </c>
      <c r="C131" s="327"/>
      <c r="D131" s="327"/>
      <c r="E131" s="327"/>
      <c r="F131" s="327"/>
    </row>
    <row r="132" spans="1:6">
      <c r="A132" s="1290" t="s">
        <v>292</v>
      </c>
      <c r="B132" s="1291">
        <v>6</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45687.010043116978</v>
      </c>
      <c r="C3" s="44" t="s">
        <v>169</v>
      </c>
      <c r="D3" s="44"/>
      <c r="E3" s="157"/>
      <c r="F3" s="44"/>
      <c r="G3" s="44"/>
      <c r="H3" s="44"/>
      <c r="I3" s="44"/>
      <c r="J3" s="44"/>
      <c r="K3" s="97"/>
    </row>
    <row r="4" spans="1:11">
      <c r="A4" s="354" t="s">
        <v>170</v>
      </c>
      <c r="B4" s="50">
        <f>IF(ISERROR('SEAP template'!B78+'SEAP template'!C78),0,'SEAP template'!B78+'SEAP template'!C78)</f>
        <v>1593.3539342394788</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26.735294117647058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0.2138777145835942</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38.19327731092438</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160.71428571428572</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0.23764705882352946</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1011.793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1011.793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0.2138777145835942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216.39997447167852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28768.5489038716</v>
      </c>
      <c r="C5" s="18">
        <f>IF(ISERROR('Eigen informatie GS &amp; warmtenet'!B57),0,'Eigen informatie GS &amp; warmtenet'!B57)</f>
        <v>0</v>
      </c>
      <c r="D5" s="31">
        <f>(SUM(HH_hh_gas_kWh,HH_rest_gas_kWh)/1000)*0.902</f>
        <v>28965.666246279852</v>
      </c>
      <c r="E5" s="18">
        <f>B32*B41</f>
        <v>1841.1513822115396</v>
      </c>
      <c r="F5" s="18">
        <f>B36*B45</f>
        <v>56131.360236441215</v>
      </c>
      <c r="G5" s="19"/>
      <c r="H5" s="18"/>
      <c r="I5" s="18"/>
      <c r="J5" s="18">
        <f>B35*B44+C35*C44</f>
        <v>1018.4839727515971</v>
      </c>
      <c r="K5" s="18"/>
      <c r="L5" s="18"/>
      <c r="M5" s="18"/>
      <c r="N5" s="18">
        <f>B34*B43+C34*C43</f>
        <v>7828.0468735934692</v>
      </c>
      <c r="O5" s="18">
        <f>B52*B53*B54</f>
        <v>98.490000000000009</v>
      </c>
      <c r="P5" s="18">
        <f>B60*B61*B62/1000-B60*B61*B62/1000/B63</f>
        <v>266.93333333333334</v>
      </c>
    </row>
    <row r="6" spans="1:16">
      <c r="A6" s="17" t="s">
        <v>628</v>
      </c>
      <c r="B6" s="768">
        <f>kWh_PV_kleiner_dan_10kW</f>
        <v>1480.8539342394788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30249.40283811108</v>
      </c>
      <c r="C8" s="22">
        <f>C5</f>
        <v>0</v>
      </c>
      <c r="D8" s="22">
        <f>D5</f>
        <v>28965.666246279852</v>
      </c>
      <c r="E8" s="22">
        <f>E5</f>
        <v>1841.1513822115396</v>
      </c>
      <c r="F8" s="22">
        <f>F5</f>
        <v>56131.360236441215</v>
      </c>
      <c r="G8" s="22"/>
      <c r="H8" s="22"/>
      <c r="I8" s="22"/>
      <c r="J8" s="22">
        <f>J5</f>
        <v>1018.4839727515971</v>
      </c>
      <c r="K8" s="22"/>
      <c r="L8" s="22">
        <f>L5</f>
        <v>0</v>
      </c>
      <c r="M8" s="22">
        <f>M5</f>
        <v>0</v>
      </c>
      <c r="N8" s="22">
        <f>N5</f>
        <v>7828.0468735934692</v>
      </c>
      <c r="O8" s="22">
        <f>O5</f>
        <v>98.490000000000009</v>
      </c>
      <c r="P8" s="22">
        <f>P5</f>
        <v>266.93333333333334</v>
      </c>
    </row>
    <row r="9" spans="1:16">
      <c r="B9" s="20"/>
      <c r="C9" s="20"/>
      <c r="D9" s="258"/>
      <c r="E9" s="20"/>
      <c r="F9" s="20"/>
      <c r="G9" s="20"/>
      <c r="H9" s="20"/>
      <c r="I9" s="20"/>
      <c r="J9" s="20"/>
      <c r="K9" s="20"/>
      <c r="L9" s="20"/>
      <c r="M9" s="20"/>
      <c r="N9" s="20"/>
      <c r="O9" s="20"/>
      <c r="P9" s="20"/>
    </row>
    <row r="10" spans="1:16">
      <c r="A10" s="25" t="s">
        <v>213</v>
      </c>
      <c r="B10" s="26">
        <f ca="1">'EF ele_warmte'!B12</f>
        <v>0.2138777145835942</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6469.6731465336861</v>
      </c>
      <c r="C12" s="24">
        <f ca="1">C10*C8</f>
        <v>0</v>
      </c>
      <c r="D12" s="24">
        <f>D8*D10</f>
        <v>5851.0645817485301</v>
      </c>
      <c r="E12" s="24">
        <f>E10*E8</f>
        <v>417.94136376201948</v>
      </c>
      <c r="F12" s="24">
        <f>F10*F8</f>
        <v>14987.073183129805</v>
      </c>
      <c r="G12" s="24"/>
      <c r="H12" s="24"/>
      <c r="I12" s="24"/>
      <c r="J12" s="24">
        <f>J10*J8</f>
        <v>360.54332635406536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4995</v>
      </c>
      <c r="C26" s="37"/>
      <c r="D26" s="228"/>
    </row>
    <row r="27" spans="1:5" s="16" customFormat="1">
      <c r="A27" s="230" t="s">
        <v>654</v>
      </c>
      <c r="B27" s="38">
        <f>SUM(HH_hh_gas_aantal,HH_rest_gas_aantal)</f>
        <v>1517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1441.15</v>
      </c>
      <c r="C31" s="35" t="s">
        <v>110</v>
      </c>
      <c r="D31" s="174"/>
    </row>
    <row r="32" spans="1:5">
      <c r="A32" s="171" t="s">
        <v>72</v>
      </c>
      <c r="B32" s="34">
        <f>IF((B21*($B$26-($B$27-0.05*$B$27)-$B$60))&lt;0,0,B21*($B$26-($B$27-0.05*$B$27)-$B$60))</f>
        <v>86.992983912440124</v>
      </c>
      <c r="C32" s="35" t="s">
        <v>110</v>
      </c>
      <c r="D32" s="174"/>
    </row>
    <row r="33" spans="1:6">
      <c r="A33" s="171" t="s">
        <v>73</v>
      </c>
      <c r="B33" s="34">
        <f>IF((B22*($B$26-($B$27-0.05*$B$27)-$B$60))&lt;0,0,B22*($B$26-($B$27-0.05*$B$27)-$B$60))</f>
        <v>585.5648105390145</v>
      </c>
      <c r="C33" s="35" t="s">
        <v>110</v>
      </c>
      <c r="D33" s="174"/>
    </row>
    <row r="34" spans="1:6">
      <c r="A34" s="171" t="s">
        <v>74</v>
      </c>
      <c r="B34" s="34">
        <f>IF((B24*($B$26-($B$27-0.05*$B$27)-$B$60))&lt;0,0,B24*($B$26-($B$27-0.05*$B$27)-$B$60))</f>
        <v>148.51157854053355</v>
      </c>
      <c r="C34" s="34">
        <f>B26*C24</f>
        <v>1021.4891267070159</v>
      </c>
      <c r="D34" s="233"/>
    </row>
    <row r="35" spans="1:6">
      <c r="A35" s="171" t="s">
        <v>76</v>
      </c>
      <c r="B35" s="34">
        <f>IF((B19*($B$26-($B$27-0.05*$B$27)-$B$60))&lt;0,0,B19*($B$26-($B$27-0.05*$B$27)-$B$60))</f>
        <v>55.211905118913911</v>
      </c>
      <c r="C35" s="34">
        <f>B35/2</f>
        <v>27.605952559456956</v>
      </c>
      <c r="D35" s="233"/>
    </row>
    <row r="36" spans="1:6">
      <c r="A36" s="171" t="s">
        <v>77</v>
      </c>
      <c r="B36" s="34">
        <f>IF((B18*($B$26-($B$27-0.05*$B$27)-$B$60))&lt;0,0,B18*($B$26-($B$27-0.05*$B$27)-$B$60))</f>
        <v>2663.5687218890971</v>
      </c>
      <c r="C36" s="35" t="s">
        <v>110</v>
      </c>
      <c r="D36" s="174"/>
    </row>
    <row r="37" spans="1:6">
      <c r="A37" s="171" t="s">
        <v>78</v>
      </c>
      <c r="B37" s="34">
        <f>B60</f>
        <v>14</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14</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12462.161958795205</v>
      </c>
      <c r="C5" s="18">
        <f>IF(ISERROR('Eigen informatie GS &amp; warmtenet'!B58),0,'Eigen informatie GS &amp; warmtenet'!B58)</f>
        <v>0</v>
      </c>
      <c r="D5" s="31">
        <f>SUM(D6:D12)</f>
        <v>8114.5114604084665</v>
      </c>
      <c r="E5" s="18">
        <f>SUM(E6:E12)</f>
        <v>147.34570830614922</v>
      </c>
      <c r="F5" s="18">
        <f>SUM(F6:F12)</f>
        <v>2438.901953770719</v>
      </c>
      <c r="G5" s="19"/>
      <c r="H5" s="18"/>
      <c r="I5" s="18"/>
      <c r="J5" s="18">
        <f>SUM(J6:J12)</f>
        <v>0</v>
      </c>
      <c r="K5" s="18"/>
      <c r="L5" s="18"/>
      <c r="M5" s="18"/>
      <c r="N5" s="18">
        <f>SUM(N6:N12)</f>
        <v>581.3975207764247</v>
      </c>
      <c r="O5" s="18">
        <f>B38*B39*B40</f>
        <v>1.5633333333333335</v>
      </c>
      <c r="P5" s="18">
        <f>B46*B47*B48/1000-B46*B47*B48/1000/B49</f>
        <v>19.066666666666666</v>
      </c>
      <c r="R5" s="33"/>
    </row>
    <row r="6" spans="1:18">
      <c r="A6" s="33" t="s">
        <v>53</v>
      </c>
      <c r="B6" s="38">
        <f>B26</f>
        <v>3428.2505773743101</v>
      </c>
      <c r="C6" s="34"/>
      <c r="D6" s="38">
        <f>IF(ISERROR(TER_kantoor_gas_kWh/1000),0,TER_kantoor_gas_kWh/1000)*0.902</f>
        <v>2071.3305943628811</v>
      </c>
      <c r="E6" s="34">
        <f>$C$26*'E Balans VL '!I12/100/3.6*1000000</f>
        <v>5.6264540210675245</v>
      </c>
      <c r="F6" s="34">
        <f>$C$26*('E Balans VL '!L12+'E Balans VL '!N12)/100/3.6*1000000</f>
        <v>404.110080716678</v>
      </c>
      <c r="G6" s="35"/>
      <c r="H6" s="34"/>
      <c r="I6" s="34"/>
      <c r="J6" s="34">
        <f>$C$26*('E Balans VL '!D12+'E Balans VL '!E12)/100/3.6*1000000</f>
        <v>0</v>
      </c>
      <c r="K6" s="34"/>
      <c r="L6" s="34"/>
      <c r="M6" s="34"/>
      <c r="N6" s="34">
        <f>$C$26*'E Balans VL '!Y12/100/3.6*1000000</f>
        <v>0.69266179506295245</v>
      </c>
      <c r="O6" s="34"/>
      <c r="P6" s="34"/>
      <c r="R6" s="33"/>
    </row>
    <row r="7" spans="1:18">
      <c r="A7" s="33" t="s">
        <v>52</v>
      </c>
      <c r="B7" s="38">
        <f t="shared" ref="B7:B12" si="0">B27</f>
        <v>1854.0554271870199</v>
      </c>
      <c r="C7" s="34"/>
      <c r="D7" s="38">
        <f>IF(ISERROR(TER_horeca_gas_kWh/1000),0,TER_horeca_gas_kWh/1000)*0.902</f>
        <v>1082.1544593738138</v>
      </c>
      <c r="E7" s="34">
        <f>$C$27*'E Balans VL '!I9/100/3.6*1000000</f>
        <v>96.212060438838535</v>
      </c>
      <c r="F7" s="34">
        <f>$C$27*('E Balans VL '!L9+'E Balans VL '!N9)/100/3.6*1000000</f>
        <v>423.09679379336353</v>
      </c>
      <c r="G7" s="35"/>
      <c r="H7" s="34"/>
      <c r="I7" s="34"/>
      <c r="J7" s="34">
        <f>$C$27*('E Balans VL '!D9+'E Balans VL '!E9)/100/3.6*1000000</f>
        <v>0</v>
      </c>
      <c r="K7" s="34"/>
      <c r="L7" s="34"/>
      <c r="M7" s="34"/>
      <c r="N7" s="34">
        <f>$C$27*'E Balans VL '!Y9/100/3.6*1000000</f>
        <v>0.19578740345298146</v>
      </c>
      <c r="O7" s="34"/>
      <c r="P7" s="34"/>
      <c r="R7" s="33"/>
    </row>
    <row r="8" spans="1:18">
      <c r="A8" s="6" t="s">
        <v>51</v>
      </c>
      <c r="B8" s="38">
        <f t="shared" si="0"/>
        <v>3529.68444125921</v>
      </c>
      <c r="C8" s="34"/>
      <c r="D8" s="38">
        <f>IF(ISERROR(TER_handel_gas_kWh/1000),0,TER_handel_gas_kWh/1000)*0.902</f>
        <v>134.9936415745799</v>
      </c>
      <c r="E8" s="34">
        <f>$C$28*'E Balans VL '!I13/100/3.6*1000000</f>
        <v>19.007784456749892</v>
      </c>
      <c r="F8" s="34">
        <f>$C$28*('E Balans VL '!L13+'E Balans VL '!N13)/100/3.6*1000000</f>
        <v>719.80755034699439</v>
      </c>
      <c r="G8" s="35"/>
      <c r="H8" s="34"/>
      <c r="I8" s="34"/>
      <c r="J8" s="34">
        <f>$C$28*('E Balans VL '!D13+'E Balans VL '!E13)/100/3.6*1000000</f>
        <v>0</v>
      </c>
      <c r="K8" s="34"/>
      <c r="L8" s="34"/>
      <c r="M8" s="34"/>
      <c r="N8" s="34">
        <f>$C$28*'E Balans VL '!Y13/100/3.6*1000000</f>
        <v>17.551256753432529</v>
      </c>
      <c r="O8" s="34"/>
      <c r="P8" s="34"/>
      <c r="R8" s="33"/>
    </row>
    <row r="9" spans="1:18">
      <c r="A9" s="33" t="s">
        <v>50</v>
      </c>
      <c r="B9" s="38">
        <f t="shared" si="0"/>
        <v>348.42559143422898</v>
      </c>
      <c r="C9" s="34"/>
      <c r="D9" s="38">
        <f>IF(ISERROR(TER_gezond_gas_kWh/1000),0,TER_gezond_gas_kWh/1000)*0.902</f>
        <v>315.54237149537528</v>
      </c>
      <c r="E9" s="34">
        <f>$C$29*'E Balans VL '!I10/100/3.6*1000000</f>
        <v>0.34529372339074837</v>
      </c>
      <c r="F9" s="34">
        <f>$C$29*('E Balans VL '!L10+'E Balans VL '!N10)/100/3.6*1000000</f>
        <v>120.89363724529692</v>
      </c>
      <c r="G9" s="35"/>
      <c r="H9" s="34"/>
      <c r="I9" s="34"/>
      <c r="J9" s="34">
        <f>$C$29*('E Balans VL '!D10+'E Balans VL '!E10)/100/3.6*1000000</f>
        <v>0</v>
      </c>
      <c r="K9" s="34"/>
      <c r="L9" s="34"/>
      <c r="M9" s="34"/>
      <c r="N9" s="34">
        <f>$C$29*'E Balans VL '!Y10/100/3.6*1000000</f>
        <v>3.0023531374244756</v>
      </c>
      <c r="O9" s="34"/>
      <c r="P9" s="34"/>
      <c r="R9" s="33"/>
    </row>
    <row r="10" spans="1:18">
      <c r="A10" s="33" t="s">
        <v>49</v>
      </c>
      <c r="B10" s="38">
        <f t="shared" si="0"/>
        <v>701.97357190257492</v>
      </c>
      <c r="C10" s="34"/>
      <c r="D10" s="38">
        <f>IF(ISERROR(TER_ander_gas_kWh/1000),0,TER_ander_gas_kWh/1000)*0.902</f>
        <v>133.96870830996599</v>
      </c>
      <c r="E10" s="34">
        <f>$C$30*'E Balans VL '!I14/100/3.6*1000000</f>
        <v>5.7428453907836952</v>
      </c>
      <c r="F10" s="34">
        <f>$C$30*('E Balans VL '!L14+'E Balans VL '!N14)/100/3.6*1000000</f>
        <v>205.22849389657819</v>
      </c>
      <c r="G10" s="35"/>
      <c r="H10" s="34"/>
      <c r="I10" s="34"/>
      <c r="J10" s="34">
        <f>$C$30*('E Balans VL '!D14+'E Balans VL '!E14)/100/3.6*1000000</f>
        <v>0</v>
      </c>
      <c r="K10" s="34"/>
      <c r="L10" s="34"/>
      <c r="M10" s="34"/>
      <c r="N10" s="34">
        <f>$C$30*'E Balans VL '!Y14/100/3.6*1000000</f>
        <v>404.94664427264775</v>
      </c>
      <c r="O10" s="34"/>
      <c r="P10" s="34"/>
      <c r="R10" s="33"/>
    </row>
    <row r="11" spans="1:18">
      <c r="A11" s="33" t="s">
        <v>54</v>
      </c>
      <c r="B11" s="38">
        <f t="shared" si="0"/>
        <v>255.68954664357901</v>
      </c>
      <c r="C11" s="34"/>
      <c r="D11" s="38">
        <f>IF(ISERROR(TER_onderwijs_gas_kWh/1000),0,TER_onderwijs_gas_kWh/1000)*0.902</f>
        <v>311.36302712048439</v>
      </c>
      <c r="E11" s="34">
        <f>$C$31*'E Balans VL '!I11/100/3.6*1000000</f>
        <v>0.15759624793801608</v>
      </c>
      <c r="F11" s="34">
        <f>$C$31*('E Balans VL '!L11+'E Balans VL '!N11)/100/3.6*1000000</f>
        <v>98.853719540062755</v>
      </c>
      <c r="G11" s="35"/>
      <c r="H11" s="34"/>
      <c r="I11" s="34"/>
      <c r="J11" s="34">
        <f>$C$31*('E Balans VL '!D11+'E Balans VL '!E11)/100/3.6*1000000</f>
        <v>0</v>
      </c>
      <c r="K11" s="34"/>
      <c r="L11" s="34"/>
      <c r="M11" s="34"/>
      <c r="N11" s="34">
        <f>$C$31*'E Balans VL '!Y11/100/3.6*1000000</f>
        <v>0.83170330213162835</v>
      </c>
      <c r="O11" s="34"/>
      <c r="P11" s="34"/>
      <c r="R11" s="33"/>
    </row>
    <row r="12" spans="1:18">
      <c r="A12" s="33" t="s">
        <v>255</v>
      </c>
      <c r="B12" s="38">
        <f t="shared" si="0"/>
        <v>2344.08280299428</v>
      </c>
      <c r="C12" s="34"/>
      <c r="D12" s="38">
        <f>IF(ISERROR(TER_rest_gas_kWh/1000),0,TER_rest_gas_kWh/1000)*0.902</f>
        <v>4065.1586581713664</v>
      </c>
      <c r="E12" s="34">
        <f>$C$32*'E Balans VL '!I8/100/3.6*1000000</f>
        <v>20.2536740273808</v>
      </c>
      <c r="F12" s="34">
        <f>$C$32*('E Balans VL '!L8+'E Balans VL '!N8)/100/3.6*1000000</f>
        <v>466.9116782317455</v>
      </c>
      <c r="G12" s="35"/>
      <c r="H12" s="34"/>
      <c r="I12" s="34"/>
      <c r="J12" s="34">
        <f>$C$32*('E Balans VL '!D8+'E Balans VL '!E8)/100/3.6*1000000</f>
        <v>0</v>
      </c>
      <c r="K12" s="34"/>
      <c r="L12" s="34"/>
      <c r="M12" s="34"/>
      <c r="N12" s="34">
        <f>$C$32*'E Balans VL '!Y8/100/3.6*1000000</f>
        <v>154.17711411227236</v>
      </c>
      <c r="O12" s="34"/>
      <c r="P12" s="34"/>
      <c r="R12" s="33"/>
    </row>
    <row r="13" spans="1:18">
      <c r="A13" s="17" t="s">
        <v>495</v>
      </c>
      <c r="B13" s="246">
        <f ca="1">'lokale energieproductie'!N38+'lokale energieproductie'!N31</f>
        <v>112.5</v>
      </c>
      <c r="C13" s="246">
        <f ca="1">'lokale energieproductie'!O38+'lokale energieproductie'!O31</f>
        <v>160.71428571428572</v>
      </c>
      <c r="D13" s="305">
        <f ca="1">('lokale energieproductie'!P31+'lokale energieproductie'!P38)*(-1)</f>
        <v>-321.42857142857144</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12574.661958795205</v>
      </c>
      <c r="C16" s="22">
        <f t="shared" ca="1" si="1"/>
        <v>160.71428571428572</v>
      </c>
      <c r="D16" s="22">
        <f t="shared" ca="1" si="1"/>
        <v>7793.082888979895</v>
      </c>
      <c r="E16" s="22">
        <f t="shared" si="1"/>
        <v>147.34570830614922</v>
      </c>
      <c r="F16" s="22">
        <f t="shared" ca="1" si="1"/>
        <v>2438.901953770719</v>
      </c>
      <c r="G16" s="22">
        <f t="shared" si="1"/>
        <v>0</v>
      </c>
      <c r="H16" s="22">
        <f t="shared" si="1"/>
        <v>0</v>
      </c>
      <c r="I16" s="22">
        <f t="shared" si="1"/>
        <v>0</v>
      </c>
      <c r="J16" s="22">
        <f t="shared" si="1"/>
        <v>0</v>
      </c>
      <c r="K16" s="22">
        <f t="shared" si="1"/>
        <v>0</v>
      </c>
      <c r="L16" s="22">
        <f t="shared" ca="1" si="1"/>
        <v>0</v>
      </c>
      <c r="M16" s="22">
        <f t="shared" si="1"/>
        <v>0</v>
      </c>
      <c r="N16" s="22">
        <f t="shared" ca="1" si="1"/>
        <v>581.3975207764247</v>
      </c>
      <c r="O16" s="22">
        <f>O5</f>
        <v>1.5633333333333335</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0.2138777145835942</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2689.4399614083804</v>
      </c>
      <c r="C20" s="24">
        <f t="shared" ref="C20:P20" ca="1" si="2">C16*C18</f>
        <v>38.19327731092438</v>
      </c>
      <c r="D20" s="24">
        <f t="shared" ca="1" si="2"/>
        <v>1574.202743573939</v>
      </c>
      <c r="E20" s="24">
        <f t="shared" si="2"/>
        <v>33.447475785495875</v>
      </c>
      <c r="F20" s="24">
        <f t="shared" ca="1" si="2"/>
        <v>651.18682165678206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3428.2505773743101</v>
      </c>
      <c r="C26" s="40">
        <f>IF(ISERROR(B26*3.6/1000000/'E Balans VL '!Z12*100),0,B26*3.6/1000000/'E Balans VL '!Z12*100)</f>
        <v>7.2847866264289463E-2</v>
      </c>
      <c r="D26" s="236" t="s">
        <v>691</v>
      </c>
      <c r="F26" s="6"/>
    </row>
    <row r="27" spans="1:18">
      <c r="A27" s="231" t="s">
        <v>52</v>
      </c>
      <c r="B27" s="34">
        <f>IF(ISERROR(TER_horeca_ele_kWh/1000),0,TER_horeca_ele_kWh/1000)</f>
        <v>1854.0554271870199</v>
      </c>
      <c r="C27" s="40">
        <f>IF(ISERROR(B27*3.6/1000000/'E Balans VL '!Z9*100),0,B27*3.6/1000000/'E Balans VL '!Z9*100)</f>
        <v>0.14592849946806072</v>
      </c>
      <c r="D27" s="236" t="s">
        <v>691</v>
      </c>
      <c r="F27" s="6"/>
    </row>
    <row r="28" spans="1:18">
      <c r="A28" s="171" t="s">
        <v>51</v>
      </c>
      <c r="B28" s="34">
        <f>IF(ISERROR(TER_handel_ele_kWh/1000),0,TER_handel_ele_kWh/1000)</f>
        <v>3529.68444125921</v>
      </c>
      <c r="C28" s="40">
        <f>IF(ISERROR(B28*3.6/1000000/'E Balans VL '!Z13*100),0,B28*3.6/1000000/'E Balans VL '!Z13*100)</f>
        <v>9.8868350212205761E-2</v>
      </c>
      <c r="D28" s="236" t="s">
        <v>691</v>
      </c>
      <c r="F28" s="6"/>
    </row>
    <row r="29" spans="1:18">
      <c r="A29" s="231" t="s">
        <v>50</v>
      </c>
      <c r="B29" s="34">
        <f>IF(ISERROR(TER_gezond_ele_kWh/1000),0,TER_gezond_ele_kWh/1000)</f>
        <v>348.42559143422898</v>
      </c>
      <c r="C29" s="40">
        <f>IF(ISERROR(B29*3.6/1000000/'E Balans VL '!Z10*100),0,B29*3.6/1000000/'E Balans VL '!Z10*100)</f>
        <v>4.4574169109993254E-2</v>
      </c>
      <c r="D29" s="236" t="s">
        <v>691</v>
      </c>
      <c r="F29" s="6"/>
    </row>
    <row r="30" spans="1:18">
      <c r="A30" s="231" t="s">
        <v>49</v>
      </c>
      <c r="B30" s="34">
        <f>IF(ISERROR(TER_ander_ele_kWh/1000),0,TER_ander_ele_kWh/1000)</f>
        <v>701.97357190257492</v>
      </c>
      <c r="C30" s="40">
        <f>IF(ISERROR(B30*3.6/1000000/'E Balans VL '!Z14*100),0,B30*3.6/1000000/'E Balans VL '!Z14*100)</f>
        <v>5.2501708245668383E-2</v>
      </c>
      <c r="D30" s="236" t="s">
        <v>691</v>
      </c>
      <c r="F30" s="6"/>
    </row>
    <row r="31" spans="1:18">
      <c r="A31" s="231" t="s">
        <v>54</v>
      </c>
      <c r="B31" s="34">
        <f>IF(ISERROR(TER_onderwijs_ele_kWh/1000),0,TER_onderwijs_ele_kWh/1000)</f>
        <v>255.68954664357901</v>
      </c>
      <c r="C31" s="40">
        <f>IF(ISERROR(B31*3.6/1000000/'E Balans VL '!Z11*100),0,B31*3.6/1000000/'E Balans VL '!Z11*100)</f>
        <v>5.3989178976412096E-2</v>
      </c>
      <c r="D31" s="236" t="s">
        <v>691</v>
      </c>
    </row>
    <row r="32" spans="1:18">
      <c r="A32" s="231" t="s">
        <v>255</v>
      </c>
      <c r="B32" s="34">
        <f>IF(ISERROR(TER_rest_ele_kWh/1000),0,TER_rest_ele_kWh/1000)</f>
        <v>2344.08280299428</v>
      </c>
      <c r="C32" s="40">
        <f>IF(ISERROR(B32*3.6/1000000/'E Balans VL '!Z8*100),0,B32*3.6/1000000/'E Balans VL '!Z8*100)</f>
        <v>1.9310394886832269E-2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793.23580995770601</v>
      </c>
      <c r="C5" s="18">
        <f>IF(ISERROR('Eigen informatie GS &amp; warmtenet'!B59),0,'Eigen informatie GS &amp; warmtenet'!B59)</f>
        <v>0</v>
      </c>
      <c r="D5" s="31">
        <f>SUM(D6:D15)</f>
        <v>421.83867686476253</v>
      </c>
      <c r="E5" s="18">
        <f>SUM(E6:E15)</f>
        <v>5.8677294932103887</v>
      </c>
      <c r="F5" s="18">
        <f>SUM(F6:F15)</f>
        <v>389.76212557781793</v>
      </c>
      <c r="G5" s="19"/>
      <c r="H5" s="18"/>
      <c r="I5" s="18"/>
      <c r="J5" s="18">
        <f>SUM(J6:J15)</f>
        <v>2.5115633065998946</v>
      </c>
      <c r="K5" s="18"/>
      <c r="L5" s="18"/>
      <c r="M5" s="18"/>
      <c r="N5" s="18">
        <f>SUM(N6:N15)</f>
        <v>41.009536158250157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41.320709962339997</v>
      </c>
      <c r="C8" s="34"/>
      <c r="D8" s="38">
        <f>IF( ISERROR(IND_metaal_Gas_kWH/1000),0,IND_metaal_Gas_kWH/1000)*0.902</f>
        <v>0</v>
      </c>
      <c r="E8" s="34">
        <f>C30*'E Balans VL '!I18/100/3.6*1000000</f>
        <v>0.37630025912460113</v>
      </c>
      <c r="F8" s="34">
        <f>C30*'E Balans VL '!L18/100/3.6*1000000+C30*'E Balans VL '!N18/100/3.6*1000000</f>
        <v>5.4498878491715956</v>
      </c>
      <c r="G8" s="35"/>
      <c r="H8" s="34"/>
      <c r="I8" s="34"/>
      <c r="J8" s="41">
        <f>C30*'E Balans VL '!D18/100/3.6*1000000+C30*'E Balans VL '!E18/100/3.6*1000000</f>
        <v>0.67759964787188431</v>
      </c>
      <c r="K8" s="34"/>
      <c r="L8" s="34"/>
      <c r="M8" s="34"/>
      <c r="N8" s="34">
        <f>C30*'E Balans VL '!Y18/100/3.6*1000000</f>
        <v>0.14200286553063668</v>
      </c>
      <c r="O8" s="34"/>
      <c r="P8" s="34"/>
      <c r="R8" s="33"/>
    </row>
    <row r="9" spans="1:18">
      <c r="A9" s="6" t="s">
        <v>32</v>
      </c>
      <c r="B9" s="38">
        <f t="shared" si="0"/>
        <v>394.64392169575302</v>
      </c>
      <c r="C9" s="34"/>
      <c r="D9" s="38">
        <f>IF( ISERROR(IND_andere_gas_kWh/1000),0,IND_andere_gas_kWh/1000)*0.902</f>
        <v>149.01634775137879</v>
      </c>
      <c r="E9" s="34">
        <f>C31*'E Balans VL '!I19/100/3.6*1000000</f>
        <v>2.2811008420575805</v>
      </c>
      <c r="F9" s="34">
        <f>C31*'E Balans VL '!L19/100/3.6*1000000+C31*'E Balans VL '!N19/100/3.6*1000000</f>
        <v>313.95822922304086</v>
      </c>
      <c r="G9" s="35"/>
      <c r="H9" s="34"/>
      <c r="I9" s="34"/>
      <c r="J9" s="41">
        <f>C31*'E Balans VL '!D19/100/3.6*1000000+C31*'E Balans VL '!E19/100/3.6*1000000</f>
        <v>3.7328931411895687E-2</v>
      </c>
      <c r="K9" s="34"/>
      <c r="L9" s="34"/>
      <c r="M9" s="34"/>
      <c r="N9" s="34">
        <f>C31*'E Balans VL '!Y19/100/3.6*1000000</f>
        <v>29.900249336174848</v>
      </c>
      <c r="O9" s="34"/>
      <c r="P9" s="34"/>
      <c r="R9" s="33"/>
    </row>
    <row r="10" spans="1:18">
      <c r="A10" s="6" t="s">
        <v>40</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357.27117829961298</v>
      </c>
      <c r="C15" s="34"/>
      <c r="D15" s="38">
        <f>IF( ISERROR(IND_rest_gas_kWh/1000),0,IND_rest_gas_kWh/1000)*0.902</f>
        <v>272.82232911338372</v>
      </c>
      <c r="E15" s="34">
        <f>C37*'E Balans VL '!I15/100/3.6*1000000</f>
        <v>3.2103283920282077</v>
      </c>
      <c r="F15" s="34">
        <f>C37*'E Balans VL '!L15/100/3.6*1000000+C37*'E Balans VL '!N15/100/3.6*1000000</f>
        <v>70.354008505605449</v>
      </c>
      <c r="G15" s="35"/>
      <c r="H15" s="34"/>
      <c r="I15" s="34"/>
      <c r="J15" s="41">
        <f>C37*'E Balans VL '!D15/100/3.6*1000000+C37*'E Balans VL '!E15/100/3.6*1000000</f>
        <v>1.7966347273161147</v>
      </c>
      <c r="K15" s="34"/>
      <c r="L15" s="34"/>
      <c r="M15" s="34"/>
      <c r="N15" s="34">
        <f>C37*'E Balans VL '!Y15/100/3.6*1000000</f>
        <v>10.967283956544669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793.23580995770601</v>
      </c>
      <c r="C18" s="22">
        <f>C5+C16</f>
        <v>0</v>
      </c>
      <c r="D18" s="22">
        <f>MAX((D5+D16),0)</f>
        <v>421.83867686476253</v>
      </c>
      <c r="E18" s="22">
        <f>MAX((E5+E16),0)</f>
        <v>5.8677294932103887</v>
      </c>
      <c r="F18" s="22">
        <f>MAX((F5+F16),0)</f>
        <v>389.76212557781793</v>
      </c>
      <c r="G18" s="22"/>
      <c r="H18" s="22"/>
      <c r="I18" s="22"/>
      <c r="J18" s="22">
        <f>MAX((J5+J16),0)</f>
        <v>2.5115633065998946</v>
      </c>
      <c r="K18" s="22"/>
      <c r="L18" s="22">
        <f>MAX((L5+L16),0)</f>
        <v>0</v>
      </c>
      <c r="M18" s="22"/>
      <c r="N18" s="22">
        <f>MAX((N5+N16),0)</f>
        <v>41.009536158250157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0.2138777145835942</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169.65546215962041</v>
      </c>
      <c r="C22" s="24">
        <f ca="1">C18*C20</f>
        <v>0</v>
      </c>
      <c r="D22" s="24">
        <f>D18*D20</f>
        <v>85.211412726682042</v>
      </c>
      <c r="E22" s="24">
        <f>E18*E20</f>
        <v>1.3319745949587583</v>
      </c>
      <c r="F22" s="24">
        <f>F18*F20</f>
        <v>104.0664875292774</v>
      </c>
      <c r="G22" s="24"/>
      <c r="H22" s="24"/>
      <c r="I22" s="24"/>
      <c r="J22" s="24">
        <f>J18*J20</f>
        <v>0.88909341053636259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41.320709962339997</v>
      </c>
      <c r="C30" s="40">
        <f>IF(ISERROR(B30*3.6/1000000/'E Balans VL '!Z18*100),0,B30*3.6/1000000/'E Balans VL '!Z18*100)</f>
        <v>2.2992212001873638E-3</v>
      </c>
      <c r="D30" s="236" t="s">
        <v>691</v>
      </c>
    </row>
    <row r="31" spans="1:18">
      <c r="A31" s="6" t="s">
        <v>32</v>
      </c>
      <c r="B31" s="38">
        <f>IF( ISERROR(IND_ander_ele_kWh/1000),0,IND_ander_ele_kWh/1000)</f>
        <v>394.64392169575302</v>
      </c>
      <c r="C31" s="40">
        <f>IF(ISERROR(B31*3.6/1000000/'E Balans VL '!Z19*100),0,B31*3.6/1000000/'E Balans VL '!Z19*100)</f>
        <v>1.8345959465232011E-2</v>
      </c>
      <c r="D31" s="236" t="s">
        <v>691</v>
      </c>
    </row>
    <row r="32" spans="1:18">
      <c r="A32" s="171" t="s">
        <v>40</v>
      </c>
      <c r="B32" s="38">
        <f>IF( ISERROR(IND_voed_ele_kWh/1000),0,IND_voed_ele_kWh/1000)</f>
        <v>0</v>
      </c>
      <c r="C32" s="40">
        <f>IF(ISERROR(B32*3.6/1000000/'E Balans VL '!Z20*100),0,B32*3.6/1000000/'E Balans VL '!Z20*100)</f>
        <v>0</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357.27117829961298</v>
      </c>
      <c r="C37" s="40">
        <f>IF(ISERROR(B37*3.6/1000000/'E Balans VL '!Z15*100),0,B37*3.6/1000000/'E Balans VL '!Z15*100)</f>
        <v>2.6979251654990497E-3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118.68171820800379</v>
      </c>
      <c r="C5" s="18">
        <f>'Eigen informatie GS &amp; warmtenet'!B60</f>
        <v>0</v>
      </c>
      <c r="D5" s="31">
        <f>IF(ISERROR(SUM(LB_lb_gas_kWh,LB_rest_gas_kWh)/1000),0,SUM(LB_lb_gas_kWh,LB_rest_gas_kWh)/1000)*0.902</f>
        <v>40.334727275545077</v>
      </c>
      <c r="E5" s="18">
        <f>B17*'E Balans VL '!I25/3.6*1000000/100</f>
        <v>1.1180613048790766</v>
      </c>
      <c r="F5" s="18">
        <f>B17*('E Balans VL '!L25/3.6*1000000+'E Balans VL '!N25/3.6*1000000)/100</f>
        <v>387.29783351589452</v>
      </c>
      <c r="G5" s="19"/>
      <c r="H5" s="18"/>
      <c r="I5" s="18"/>
      <c r="J5" s="18">
        <f>('E Balans VL '!D25+'E Balans VL '!E25)/3.6*1000000*landbouw!B17/100</f>
        <v>14.681505810096548</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118.68171820800379</v>
      </c>
      <c r="C8" s="22">
        <f>C5+C6</f>
        <v>0</v>
      </c>
      <c r="D8" s="22">
        <f>MAX((D5+D6),0)</f>
        <v>40.334727275545077</v>
      </c>
      <c r="E8" s="22">
        <f>MAX((E5+E6),0)</f>
        <v>1.1180613048790766</v>
      </c>
      <c r="F8" s="22">
        <f>MAX((F5+F6),0)</f>
        <v>387.29783351589452</v>
      </c>
      <c r="G8" s="22"/>
      <c r="H8" s="22"/>
      <c r="I8" s="22"/>
      <c r="J8" s="22">
        <f>MAX((J5+J6),0)</f>
        <v>14.681505810096548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0.2138777145835942</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25.383374653181988</v>
      </c>
      <c r="C12" s="24">
        <f ca="1">C8*C10</f>
        <v>0</v>
      </c>
      <c r="D12" s="24">
        <f>D8*D10</f>
        <v>8.1476149096601063</v>
      </c>
      <c r="E12" s="24">
        <f>E8*E10</f>
        <v>0.25379991620755038</v>
      </c>
      <c r="F12" s="24">
        <f>F8*F10</f>
        <v>103.40852154874385</v>
      </c>
      <c r="G12" s="24"/>
      <c r="H12" s="24"/>
      <c r="I12" s="24"/>
      <c r="J12" s="24">
        <f>J8*J10</f>
        <v>5.1972530567741773</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1.6067608172131254E-2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18.58082284210645</v>
      </c>
      <c r="C26" s="246">
        <f>B26*'GWP N2O_CH4'!B5</f>
        <v>390.19727968423547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2.6503941471070274</v>
      </c>
      <c r="C27" s="246">
        <f>B27*'GWP N2O_CH4'!B5</f>
        <v>55.658277089247576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0.26208971176591761</v>
      </c>
      <c r="C28" s="246">
        <f>B28*'GWP N2O_CH4'!B4</f>
        <v>81.247810647434463</v>
      </c>
      <c r="D28" s="51"/>
    </row>
    <row r="29" spans="1:4">
      <c r="A29" s="42" t="s">
        <v>272</v>
      </c>
      <c r="B29" s="246">
        <f>B34*'ha_N2O bodem landbouw'!B4</f>
        <v>1.2188956327650431</v>
      </c>
      <c r="C29" s="246">
        <f>B29*'GWP N2O_CH4'!B4</f>
        <v>377.85764615716334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3.2906344968679414E-4</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7.2269448863068967E-6</v>
      </c>
      <c r="C5" s="435" t="s">
        <v>210</v>
      </c>
      <c r="D5" s="420">
        <f>SUM(D6:D11)</f>
        <v>1.3561218453499376E-5</v>
      </c>
      <c r="E5" s="420">
        <f>SUM(E6:E11)</f>
        <v>8.3389416791909503E-4</v>
      </c>
      <c r="F5" s="433" t="s">
        <v>210</v>
      </c>
      <c r="G5" s="420">
        <f>SUM(G6:G11)</f>
        <v>0.13700227699973652</v>
      </c>
      <c r="H5" s="420">
        <f>SUM(H6:H11)</f>
        <v>3.154510119465017E-2</v>
      </c>
      <c r="I5" s="435" t="s">
        <v>210</v>
      </c>
      <c r="J5" s="435" t="s">
        <v>210</v>
      </c>
      <c r="K5" s="435" t="s">
        <v>210</v>
      </c>
      <c r="L5" s="435" t="s">
        <v>210</v>
      </c>
      <c r="M5" s="420">
        <f>SUM(M6:M11)</f>
        <v>7.5409508986715151E-3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7.5611818598838441E-8</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8.806368421876748E-8</v>
      </c>
      <c r="E6" s="423">
        <f>vkm_GW_PW*SUMIFS(TableVerdeelsleutelVkm[LPG],TableVerdeelsleutelVkm[Voertuigtype],"Lichte voertuigen")*SUMIFS(TableECFTransport[EnergieConsumptieFactor (PJ per km)],TableECFTransport[Index],CONCATENATE($A6,"_LPG_LPG"))</f>
        <v>5.7133455343065135E-6</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8.9138931977954391E-4</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2.148246850343383E-4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4.9503148757232176E-5</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3.8583162743537648E-10</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6.382506603779789E-5</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1.7126539583606932E-9</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2.8400072295738561E-6</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7.0830368162825087E-6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1.3473154769280607E-5</v>
      </c>
      <c r="E8" s="423">
        <f>vkm_NGW_PW*SUMIFS(TableVerdeelsleutelVkm[LPG],TableVerdeelsleutelVkm[Voertuigtype],"Lichte voertuigen")*SUMIFS(TableECFTransport[EnergieConsumptieFactor (PJ per km)],TableECFTransport[Index],CONCATENATE($A8,"_LPG_LPG"))</f>
        <v>8.281808223847885E-4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0.12164134531131195</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3.1329910945051734E-2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6.8476013568430647E-3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6.7910419798113871E-8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1.4405717302607226E-2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3.6385191014108399E-7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6.4100638584164505E-4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2.0074846906408044</v>
      </c>
      <c r="C14" s="22"/>
      <c r="D14" s="22">
        <f t="shared" ref="D14:M14" si="0">((D5)*10^9/3600)+D12</f>
        <v>3.767005125972049</v>
      </c>
      <c r="E14" s="22">
        <f t="shared" si="0"/>
        <v>231.6372688664153</v>
      </c>
      <c r="F14" s="22"/>
      <c r="G14" s="22">
        <f t="shared" si="0"/>
        <v>38056.188055482366</v>
      </c>
      <c r="H14" s="22">
        <f t="shared" si="0"/>
        <v>8762.5281096250474</v>
      </c>
      <c r="I14" s="22"/>
      <c r="J14" s="22"/>
      <c r="K14" s="22"/>
      <c r="L14" s="22"/>
      <c r="M14" s="22">
        <f t="shared" si="0"/>
        <v>2094.7085829643097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0.2138777145835942</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0.42935623769580883</v>
      </c>
      <c r="C18" s="24"/>
      <c r="D18" s="24">
        <f t="shared" ref="D18:M18" si="1">D14*D16</f>
        <v>0.76093503544635399</v>
      </c>
      <c r="E18" s="24">
        <f t="shared" si="1"/>
        <v>52.581660032676275</v>
      </c>
      <c r="F18" s="24"/>
      <c r="G18" s="24">
        <f t="shared" si="1"/>
        <v>10161.002210813793</v>
      </c>
      <c r="H18" s="24">
        <f t="shared" si="1"/>
        <v>2181.8694992966366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2.5059539922834857E-5</v>
      </c>
      <c r="C50" s="316">
        <f t="shared" ref="C50:P50" si="2">SUM(C51:C52)</f>
        <v>0</v>
      </c>
      <c r="D50" s="316">
        <f t="shared" si="2"/>
        <v>0</v>
      </c>
      <c r="E50" s="316">
        <f t="shared" si="2"/>
        <v>0</v>
      </c>
      <c r="F50" s="316">
        <f t="shared" si="2"/>
        <v>0</v>
      </c>
      <c r="G50" s="316">
        <f t="shared" si="2"/>
        <v>4.9981746441299596E-3</v>
      </c>
      <c r="H50" s="316">
        <f t="shared" si="2"/>
        <v>0</v>
      </c>
      <c r="I50" s="316">
        <f t="shared" si="2"/>
        <v>0</v>
      </c>
      <c r="J50" s="316">
        <f t="shared" si="2"/>
        <v>0</v>
      </c>
      <c r="K50" s="316">
        <f t="shared" si="2"/>
        <v>0</v>
      </c>
      <c r="L50" s="316">
        <f t="shared" si="2"/>
        <v>0</v>
      </c>
      <c r="M50" s="316">
        <f t="shared" si="2"/>
        <v>2.2091399591572916E-4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2.5059539922834857E-5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4.9981746441299596E-3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2.2091399591572916E-4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6.9609833118985716</v>
      </c>
      <c r="C54" s="22">
        <f t="shared" ref="C54:P54" si="3">(C50)*10^9/3600</f>
        <v>0</v>
      </c>
      <c r="D54" s="22">
        <f t="shared" si="3"/>
        <v>0</v>
      </c>
      <c r="E54" s="22">
        <f t="shared" si="3"/>
        <v>0</v>
      </c>
      <c r="F54" s="22">
        <f t="shared" si="3"/>
        <v>0</v>
      </c>
      <c r="G54" s="22">
        <f t="shared" si="3"/>
        <v>1388.3818455916555</v>
      </c>
      <c r="H54" s="22">
        <f t="shared" si="3"/>
        <v>0</v>
      </c>
      <c r="I54" s="22">
        <f t="shared" si="3"/>
        <v>0</v>
      </c>
      <c r="J54" s="22">
        <f t="shared" si="3"/>
        <v>0</v>
      </c>
      <c r="K54" s="22">
        <f t="shared" si="3"/>
        <v>0</v>
      </c>
      <c r="L54" s="22">
        <f t="shared" si="3"/>
        <v>0</v>
      </c>
      <c r="M54" s="22">
        <f t="shared" si="3"/>
        <v>61.364998865480324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0.2138777145835942</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1.4887992020034049</v>
      </c>
      <c r="C58" s="24">
        <f t="shared" ref="C58:P58" ca="1" si="4">C54*C56</f>
        <v>0</v>
      </c>
      <c r="D58" s="24">
        <f t="shared" si="4"/>
        <v>0</v>
      </c>
      <c r="E58" s="24">
        <f t="shared" si="4"/>
        <v>0</v>
      </c>
      <c r="F58" s="24">
        <f t="shared" si="4"/>
        <v>0</v>
      </c>
      <c r="G58" s="24">
        <f t="shared" si="4"/>
        <v>370.69795277297203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1480.8539342394788</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112.5</v>
      </c>
      <c r="C8" s="546">
        <f>B48</f>
        <v>132.35294117647058</v>
      </c>
      <c r="D8" s="969"/>
      <c r="E8" s="969">
        <f>E48</f>
        <v>0</v>
      </c>
      <c r="F8" s="970"/>
      <c r="G8" s="547"/>
      <c r="H8" s="969">
        <f>I48</f>
        <v>0</v>
      </c>
      <c r="I8" s="969">
        <f>G48+F48</f>
        <v>0</v>
      </c>
      <c r="J8" s="969">
        <f>H48+D48+C48</f>
        <v>0</v>
      </c>
      <c r="K8" s="969"/>
      <c r="L8" s="969"/>
      <c r="M8" s="969"/>
      <c r="N8" s="548"/>
      <c r="O8" s="549">
        <f>C8*$C$12+D8*$D$12+E8*$E$12+F8*$F$12+G8*$G$12+H8*$H$12+I8*$I$12+J8*$J$12</f>
        <v>26.735294117647058</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1593.3539342394788</v>
      </c>
      <c r="C10" s="558">
        <f t="shared" ref="C10:L10" si="0">SUM(C8:C9)</f>
        <v>132.35294117647058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26.735294117647058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160.71428571428572</v>
      </c>
      <c r="C17" s="570">
        <f>B49</f>
        <v>189.07563025210086</v>
      </c>
      <c r="D17" s="571"/>
      <c r="E17" s="571">
        <f>E49</f>
        <v>0</v>
      </c>
      <c r="F17" s="572"/>
      <c r="G17" s="573"/>
      <c r="H17" s="570">
        <f>I49</f>
        <v>0</v>
      </c>
      <c r="I17" s="571">
        <f>G49+F49</f>
        <v>0</v>
      </c>
      <c r="J17" s="571">
        <f>H49+D49+C49</f>
        <v>0</v>
      </c>
      <c r="K17" s="571"/>
      <c r="L17" s="571"/>
      <c r="M17" s="571"/>
      <c r="N17" s="976"/>
      <c r="O17" s="574">
        <f>C17*$C$22+E17*$E$22+H17*$H$22+I17*$I$22+J17*$J$22+D17*$D$22+F17*$F$22+G17*$G$22+K17*$K$22+L17*$L$22</f>
        <v>38.19327731092438</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160.71428571428572</v>
      </c>
      <c r="C20" s="557">
        <f>SUM(C17:C19)</f>
        <v>189.07563025210086</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38.19327731092438</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24048</v>
      </c>
      <c r="C28" s="777">
        <v>3128</v>
      </c>
      <c r="D28" s="630" t="s">
        <v>965</v>
      </c>
      <c r="E28" s="629" t="s">
        <v>966</v>
      </c>
      <c r="F28" s="629" t="s">
        <v>967</v>
      </c>
      <c r="G28" s="629" t="s">
        <v>968</v>
      </c>
      <c r="H28" s="629" t="s">
        <v>969</v>
      </c>
      <c r="I28" s="629" t="s">
        <v>970</v>
      </c>
      <c r="J28" s="776">
        <v>40026</v>
      </c>
      <c r="K28" s="776">
        <v>40118</v>
      </c>
      <c r="L28" s="629" t="s">
        <v>971</v>
      </c>
      <c r="M28" s="629">
        <v>25</v>
      </c>
      <c r="N28" s="629">
        <v>112.5</v>
      </c>
      <c r="O28" s="629">
        <v>160.71428571428572</v>
      </c>
      <c r="P28" s="629">
        <v>321.42857142857144</v>
      </c>
      <c r="Q28" s="629">
        <v>0</v>
      </c>
      <c r="R28" s="629">
        <v>0</v>
      </c>
      <c r="S28" s="629">
        <v>0</v>
      </c>
      <c r="T28" s="629">
        <v>0</v>
      </c>
      <c r="U28" s="629">
        <v>0</v>
      </c>
      <c r="V28" s="629">
        <v>0</v>
      </c>
      <c r="W28" s="629"/>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25</v>
      </c>
      <c r="N29" s="587">
        <f>SUM(N28:N28)</f>
        <v>112.5</v>
      </c>
      <c r="O29" s="587">
        <f>SUM(O28:O28)</f>
        <v>160.71428571428572</v>
      </c>
      <c r="P29" s="587">
        <f>SUM(P28:P28)</f>
        <v>321.42857142857144</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25</v>
      </c>
      <c r="N31" s="587">
        <f ca="1">SUMIF($Z$28:AD28,"tertiair",N28:N28)</f>
        <v>112.5</v>
      </c>
      <c r="O31" s="587">
        <f ca="1">SUMIF($Z$28:AE28,"tertiair",O28:O28)</f>
        <v>160.71428571428572</v>
      </c>
      <c r="P31" s="587">
        <f ca="1">SUMIF($Z$28:AF28,"tertiair",P28:P28)</f>
        <v>321.42857142857144</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0.58823529411764708</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132.35294117647058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189.07563025210086</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2021-06-29T16:41:40Z</dcterms:modified>
</cp:coreProperties>
</file>