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E9" i="18"/>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J9" i="18" s="1"/>
  <c r="U36" i="18"/>
  <c r="T36" i="18"/>
  <c r="S36" i="18"/>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D49" i="18" s="1"/>
  <c r="I9" i="18"/>
  <c r="F20" i="18"/>
  <c r="B17" i="18"/>
  <c r="C45" i="18"/>
  <c r="B48" i="18" s="1"/>
  <c r="C8" i="18" s="1"/>
  <c r="G20" i="18"/>
  <c r="K20" i="18"/>
  <c r="B10" i="18"/>
  <c r="O9" i="18"/>
  <c r="O19" i="18"/>
  <c r="O18" i="18"/>
  <c r="B20" i="18"/>
  <c r="E48" i="18"/>
  <c r="E8" i="18" s="1"/>
  <c r="E10" i="18" s="1"/>
  <c r="C48" i="18"/>
  <c r="H48" i="18"/>
  <c r="D48" i="18"/>
  <c r="N6" i="17"/>
  <c r="L6" i="17"/>
  <c r="F6" i="17"/>
  <c r="D6" i="17"/>
  <c r="C6" i="17"/>
  <c r="N16" i="16"/>
  <c r="L16" i="16"/>
  <c r="F16" i="16"/>
  <c r="D16" i="16"/>
  <c r="C16" i="16"/>
  <c r="B16" i="16"/>
  <c r="B13" i="15"/>
  <c r="C49" i="18" l="1"/>
  <c r="H49" i="18"/>
  <c r="I49" i="18"/>
  <c r="H17" i="18" s="1"/>
  <c r="H20" i="18" s="1"/>
  <c r="B49" i="18"/>
  <c r="C17" i="18" s="1"/>
  <c r="G49" i="18"/>
  <c r="E49" i="18"/>
  <c r="E17" i="18" s="1"/>
  <c r="E20" i="18" s="1"/>
  <c r="I48" i="18"/>
  <c r="H8" i="18" s="1"/>
  <c r="H10" i="18" s="1"/>
  <c r="F49" i="18"/>
  <c r="F48" i="18"/>
  <c r="G48"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<sst xmlns="http://schemas.openxmlformats.org/spreadsheetml/2006/main" count="2583" uniqueCount="978">
  <si>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</si>
  <si>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</si>
  <si>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</si>
  <si>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</si>
  <si>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</si>
  <si>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</si>
  <si>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</si>
  <si>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</si>
  <si>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</si>
  <si>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</si>
  <si>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</si>
  <si>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</si>
  <si>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</si>
  <si>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</si>
  <si>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</si>
  <si>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</si>
  <si>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</si>
  <si>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</si>
  <si>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</si>
  <si>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</si>
  <si>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</si>
  <si>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</si>
  <si>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</si>
  <si>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</si>
  <si>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</si>
  <si>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</si>
  <si>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</si>
  <si>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</si>
  <si>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</si>
  <si>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</si>
  <si>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</si>
  <si>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</si>
  <si>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</si>
  <si>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</si>
  <si>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</si>
  <si>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</si>
  <si>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</si>
  <si>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</si>
  <si>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</si>
  <si>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</si>
  <si>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</si>
  <si>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</si>
  <si>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</si>
  <si>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</si>
  <si>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</si>
  <si>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</si>
  <si>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</si>
  <si>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</si>
  <si>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</si>
  <si>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</si>
  <si>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</si>
  <si>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</si>
  <si>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</si>
  <si>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</si>
  <si>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</si>
  <si>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</si>
  <si>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</si>
  <si>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</si>
  <si>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</si>
  <si>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</si>
  <si>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</si>
  <si>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</si>
  <si>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</si>
  <si>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</si>
  <si>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</si>
  <si>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</si>
  <si>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</si>
  <si>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</si>
  <si>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</si>
  <si>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</si>
  <si>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</si>
  <si>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</si>
  <si>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</si>
  <si>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</si>
  <si>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</si>
  <si>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</si>
  <si>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</si>
  <si>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</si>
  <si>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</si>
  <si>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</si>
  <si>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</si>
  <si>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</si>
  <si>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</si>
  <si>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</si>
  <si>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</si>
  <si>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</si>
  <si>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</si>
  <si>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</si>
  <si>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</si>
  <si>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</si>
  <si>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</si>
  <si>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</si>
  <si>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</si>
  <si>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</si>
  <si>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</si>
  <si>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</si>
  <si>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</si>
  <si>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</si>
  <si>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</si>
  <si>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</si>
  <si>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</si>
  <si>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</si>
  <si>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</si>
  <si>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</si>
  <si>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</si>
  <si>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</si>
  <si>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</si>
  <si>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</si>
  <si>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</si>
  <si>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</si>
  <si>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</si>
  <si>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</si>
  <si>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</si>
  <si>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</si>
  <si>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</si>
  <si>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</si>
  <si>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</si>
  <si>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</si>
  <si>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</si>
  <si>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</si>
  <si>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</si>
  <si>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</si>
  <si>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</si>
  <si>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</si>
  <si>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</si>
  <si>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</si>
  <si>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</si>
  <si>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</si>
  <si>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</si>
  <si>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</si>
  <si>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</si>
  <si>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</si>
  <si>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</si>
  <si>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</si>
  <si>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</si>
  <si>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</si>
  <si>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</si>
  <si>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</si>
  <si>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</si>
  <si>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</si>
  <si>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</si>
  <si>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</si>
  <si>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</si>
  <si>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</si>
  <si>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</si>
  <si>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</si>
  <si>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</si>
  <si>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</si>
  <si>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</si>
  <si>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</si>
  <si>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</si>
  <si>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</si>
  <si>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</si>
  <si>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</si>
  <si>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</si>
  <si>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</si>
  <si>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</si>
  <si>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</si>
  <si>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</si>
  <si>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</si>
  <si>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</si>
  <si>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</si>
  <si>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</si>
  <si>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</si>
  <si>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</si>
  <si>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</si>
  <si>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</si>
  <si>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</si>
  <si>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</si>
  <si>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</si>
  <si>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</si>
  <si>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</si>
  <si>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</si>
  <si>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</si>
  <si>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</si>
  <si>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</si>
  <si>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</si>
  <si>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</si>
  <si>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</si>
  <si>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</si>
  <si>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</si>
  <si>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</si>
  <si>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</si>
  <si>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</si>
  <si>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</si>
  <si>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</si>
  <si>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</si>
  <si>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</si>
  <si>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</si>
  <si>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</si>
  <si>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</si>
  <si>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</si>
  <si>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</si>
  <si>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</si>
  <si>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</si>
  <si>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</si>
  <si>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</si>
  <si>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</si>
  <si>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</si>
  <si>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</si>
  <si>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</si>
  <si>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</si>
  <si>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</si>
  <si>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</si>
  <si>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</si>
  <si>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</si>
  <si>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</si>
  <si>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</si>
  <si>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</si>
  <si>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</si>
  <si>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</si>
  <si>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</si>
  <si>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</si>
  <si>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</si>
  <si>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</si>
  <si>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</si>
  <si>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</si>
  <si>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</si>
  <si>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</si>
  <si>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</si>
  <si>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</si>
  <si>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</si>
  <si>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</si>
  <si>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</si>
  <si>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</si>
  <si>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</si>
  <si>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</si>
  <si>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</si>
  <si>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</si>
  <si>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</si>
  <si>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</si>
  <si>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</si>
  <si>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</si>
  <si>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</si>
  <si>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</si>
  <si>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</si>
  <si>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</si>
  <si>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</si>
  <si>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</si>
  <si>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</si>
  <si>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</si>
  <si>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</si>
  <si>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</si>
  <si>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</si>
  <si>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</si>
  <si>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</si>
  <si>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</si>
  <si>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</si>
  <si>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</si>
  <si>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</si>
  <si>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</si>
  <si>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</si>
  <si>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</si>
  <si>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</si>
  <si>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</si>
  <si>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</si>
  <si>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</si>
  <si>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</si>
  <si>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</si>
  <si>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</si>
  <si>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</si>
  <si>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</si>
  <si>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</si>
  <si>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</si>
  <si>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</si>
  <si>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</si>
  <si>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</si>
  <si>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</si>
  <si>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</si>
  <si>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</si>
  <si>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</si>
  <si>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</si>
  <si>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</si>
  <si>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</si>
  <si>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</si>
  <si>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</si>
  <si>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</si>
  <si>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</si>
  <si>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</si>
  <si>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</si>
  <si>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</si>
  <si>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</si>
  <si>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</si>
  <si>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</si>
  <si>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</si>
  <si>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</si>
  <si>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</si>
  <si>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</si>
  <si>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</si>
  <si>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</si>
  <si>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</si>
  <si>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</si>
  <si>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</si>
  <si>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</si>
  <si>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</si>
  <si>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</si>
  <si>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</si>
  <si>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</si>
  <si>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</si>
  <si>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</si>
  <si>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</si>
  <si>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</si>
  <si>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</si>
  <si>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</si>
  <si>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</si>
  <si>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</si>
  <si>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</si>
  <si>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</si>
  <si>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</si>
  <si>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</si>
  <si>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</si>
  <si>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</si>
  <si>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</si>
  <si>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</si>
  <si>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</si>
  <si>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</si>
  <si>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</si>
  <si>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</si>
  <si>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</si>
  <si>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</si>
  <si>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</si>
  <si>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</si>
  <si>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</si>
  <si>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</si>
  <si>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</si>
  <si>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</si>
  <si>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</si>
  <si>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</si>
  <si>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</si>
  <si>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</si>
  <si>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</si>
  <si>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</si>
  <si>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</si>
  <si>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</si>
  <si>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</si>
  <si>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</si>
  <si>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</si>
  <si>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</si>
  <si>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</si>
  <si>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</si>
  <si>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</si>
  <si>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</si>
  <si>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</si>
  <si>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</si>
  <si>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</si>
  <si>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</si>
  <si>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</si>
  <si>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</si>
  <si>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</si>
  <si>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</si>
  <si>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</si>
  <si>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</si>
  <si>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</si>
  <si>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</si>
  <si>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</si>
  <si>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</si>
  <si>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</si>
  <si>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</si>
  <si>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</si>
  <si>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</si>
  <si>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</si>
  <si>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</si>
  <si>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</si>
  <si>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</si>
  <si>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</si>
  <si>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</si>
  <si>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</si>
  <si>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</si>
  <si>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</si>
  <si>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</si>
  <si>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</si>
  <si>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</si>
  <si>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</si>
  <si>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</si>
  <si>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</si>
  <si>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</si>
  <si>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</si>
  <si>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</si>
  <si>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</si>
  <si>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</si>
  <si>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</si>
  <si>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</si>
  <si>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</si>
  <si>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</si>
  <si>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</si>
  <si>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</si>
  <si>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</si>
  <si>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</si>
  <si>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</si>
  <si>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</si>
  <si>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</si>
  <si>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</si>
  <si>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</si>
  <si>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</si>
  <si>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</si>
  <si>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</si>
  <si>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</si>
  <si>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</si>
  <si>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</si>
  <si>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</si>
  <si>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</si>
  <si>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</si>
  <si>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</si>
  <si>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</si>
  <si>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</si>
  <si>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</si>
  <si>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</si>
  <si>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</si>
  <si>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</si>
  <si>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</si>
  <si>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</si>
  <si>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</si>
  <si>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</si>
  <si>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</si>
  <si>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</si>
  <si>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</si>
  <si>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</si>
  <si>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</si>
  <si>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</si>
  <si>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</si>
  <si>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</si>
  <si>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</si>
  <si>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</si>
  <si>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</si>
  <si>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</si>
  <si>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</si>
  <si>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</si>
  <si>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</si>
  <si>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</si>
  <si>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</si>
  <si>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</si>
  <si>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</si>
  <si>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</si>
  <si>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</si>
  <si>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</si>
  <si>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</si>
  <si>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</si>
  <si>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</si>
  <si>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</si>
  <si>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</si>
  <si>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</si>
  <si>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</si>
  <si>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</si>
  <si>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</si>
  <si>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</si>
  <si>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</si>
  <si>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</si>
  <si>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</si>
  <si>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</si>
  <si>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</si>
  <si>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</si>
  <si>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</si>
  <si>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</si>
  <si>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</si>
  <si>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</si>
  <si>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</si>
  <si>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</si>
  <si>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</si>
  <si>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</si>
  <si>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</si>
  <si>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</si>
  <si>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</si>
  <si>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</si>
  <si>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</si>
  <si>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</si>
  <si>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</si>
  <si>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</si>
  <si>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</si>
  <si>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</si>
  <si>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</si>
  <si>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</si>
  <si>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</si>
  <si>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</si>
  <si>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</si>
  <si>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</si>
  <si>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</si>
  <si>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</si>
  <si>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</si>
  <si>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</si>
  <si>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</si>
  <si>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</si>
  <si>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</si>
  <si>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</si>
  <si>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</si>
  <si>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</si>
  <si>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</si>
  <si>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</si>
  <si>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</si>
  <si>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</si>
  <si>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</si>
  <si>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</si>
  <si>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</si>
  <si>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</si>
  <si>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</si>
  <si>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</si>
  <si>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</si>
  <si>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</si>
  <si>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</si>
  <si>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</si>
  <si>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</si>
  <si>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</si>
  <si>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</si>
  <si>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</si>
  <si>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</si>
  <si>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</si>
  <si>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</si>
  <si>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</si>
  <si>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</si>
  <si>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</si>
  <si>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</si>
  <si>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</si>
  <si>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</si>
  <si>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</si>
  <si>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</si>
  <si>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</si>
  <si>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</si>
  <si>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</si>
  <si>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</si>
  <si>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</si>
  <si>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</si>
  <si>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</si>
  <si>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</si>
  <si>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</si>
  <si>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</si>
  <si>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</si>
  <si>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</si>
  <si>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</si>
  <si>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</si>
  <si>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</si>
  <si>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</si>
  <si>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</si>
  <si>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</si>
  <si>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</si>
  <si>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</si>
  <si>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</si>
  <si>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</si>
  <si>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</si>
  <si>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</si>
  <si>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</si>
  <si>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</si>
  <si>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</si>
  <si>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</si>
  <si>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</si>
  <si>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</si>
  <si>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</si>
  <si>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</si>
  <si>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</si>
  <si>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</si>
  <si>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</si>
  <si>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</si>
  <si>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</si>
  <si>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</si>
  <si>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</si>
  <si>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</si>
  <si>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</si>
  <si>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</si>
  <si>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</si>
  <si>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</si>
  <si>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</si>
  <si>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</si>
  <si>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</si>
  <si>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</si>
  <si>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</si>
  <si>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</si>
  <si>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</si>
  <si>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</si>
  <si>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</si>
  <si>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</si>
  <si>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</si>
  <si>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</si>
  <si>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</si>
  <si>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</si>
  <si>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</si>
  <si>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</si>
  <si>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</si>
  <si>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</si>
  <si>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</si>
  <si>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</si>
  <si>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</si>
  <si>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</si>
  <si>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</si>
  <si>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</si>
  <si>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</si>
  <si>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</si>
  <si>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</si>
  <si>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</si>
  <si>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</si>
  <si>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</si>
  <si>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</si>
  <si>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</si>
  <si>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</si>
  <si>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</si>
  <si>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</si>
  <si>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</si>
  <si>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</si>
  <si>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</si>
  <si>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</si>
  <si>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</si>
  <si>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</si>
  <si>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</si>
  <si>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</si>
  <si>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</si>
  <si>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</si>
  <si>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</si>
  <si>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</si>
  <si>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</si>
  <si>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</si>
  <si>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</si>
  <si>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</si>
  <si>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</si>
  <si>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</si>
  <si>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</si>
  <si>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</si>
  <si>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</si>
  <si>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</si>
  <si>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</si>
  <si>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</si>
  <si>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</si>
  <si>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</si>
  <si>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</si>
  <si>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</si>
  <si>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</si>
  <si>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</si>
  <si>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</si>
  <si>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</si>
  <si>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</si>
  <si>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</si>
  <si>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</si>
  <si>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</si>
  <si>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</si>
  <si>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</si>
  <si>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</si>
  <si>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</si>
  <si>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</si>
  <si>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</si>
  <si>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</si>
  <si>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</si>
  <si>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</si>
  <si>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</si>
  <si>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</si>
  <si>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</si>
  <si>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</si>
  <si>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</si>
  <si>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</si>
  <si>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</si>
  <si>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</si>
  <si>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</si>
  <si>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</si>
  <si>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</si>
  <si>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</si>
  <si>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</si>
  <si>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</si>
  <si>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</si>
  <si>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</si>
  <si>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</si>
  <si>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</si>
  <si>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</si>
  <si>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</si>
  <si>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</si>
  <si>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</si>
  <si>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</si>
  <si>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</si>
  <si>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</si>
  <si>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</si>
  <si>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</si>
  <si>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</si>
  <si>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</si>
  <si>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</si>
  <si>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</si>
  <si>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</si>
  <si>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</si>
  <si>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</si>
  <si>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</si>
  <si>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</si>
  <si>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</si>
  <si>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</si>
  <si>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</si>
  <si>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</si>
  <si>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</si>
  <si>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</si>
  <si>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</si>
  <si>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</si>
  <si>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</si>
  <si>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</si>
  <si>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</si>
  <si>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</si>
  <si>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</si>
  <si>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</si>
  <si>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</si>
  <si>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</si>
  <si>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</si>
  <si>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</si>
  <si>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</si>
  <si>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</si>
  <si>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</si>
  <si>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</si>
  <si>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</si>
  <si>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</si>
  <si>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</si>
  <si>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</si>
  <si>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</si>
  <si>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</si>
  <si>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</si>
  <si>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</si>
  <si>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</si>
  <si>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</si>
  <si>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</si>
  <si>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</si>
  <si>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</si>
  <si>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</si>
  <si>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</si>
  <si>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</si>
  <si>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</si>
  <si>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</si>
  <si>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</si>
  <si>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</si>
  <si>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</si>
  <si>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</si>
  <si>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</si>
  <si>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</si>
  <si>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</si>
  <si>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</si>
  <si>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</si>
  <si>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</si>
  <si>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</si>
  <si>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</si>
  <si>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</si>
  <si>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</si>
  <si>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</si>
  <si>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</si>
  <si>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</si>
  <si>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</si>
  <si>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</si>
  <si>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</si>
  <si>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</si>
  <si>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</si>
  <si>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</si>
  <si>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</si>
  <si>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</si>
  <si>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</si>
  <si>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</si>
  <si>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</si>
  <si>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</si>
  <si>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</si>
  <si>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</si>
  <si>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</si>
  <si>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</si>
  <si>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</si>
  <si>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</si>
  <si>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</si>
  <si>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</si>
  <si>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</si>
  <si>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</si>
  <si>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</si>
  <si>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</si>
  <si>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</si>
  <si>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</si>
  <si>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</si>
  <si>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</si>
  <si>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</si>
  <si>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</si>
  <si>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</si>
  <si>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</si>
  <si>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</si>
  <si>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</si>
  <si>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</si>
  <si>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</si>
  <si>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</si>
  <si>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</si>
  <si>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</si>
  <si>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</si>
  <si>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</si>
  <si>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</si>
  <si>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</si>
  <si>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</si>
  <si>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</si>
  <si>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</si>
  <si>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</si>
  <si>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</si>
  <si>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</si>
  <si>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</si>
  <si>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</si>
  <si>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</si>
  <si>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</si>
  <si>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</si>
  <si>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</si>
  <si>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</si>
  <si>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</si>
  <si>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</si>
  <si>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</si>
  <si>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</si>
  <si>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</si>
  <si>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</si>
  <si>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</si>
  <si>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</si>
  <si>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</si>
  <si>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</si>
  <si>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</si>
  <si>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</si>
  <si>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</si>
  <si>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</si>
  <si>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</si>
  <si>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</si>
  <si>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</si>
  <si>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</si>
  <si>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</si>
  <si>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</si>
  <si>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</si>
  <si>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</si>
  <si>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</si>
  <si>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</si>
  <si>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</si>
  <si>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</si>
  <si>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</si>
  <si>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</si>
  <si>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</si>
  <si>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</si>
  <si>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</si>
  <si>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</si>
  <si>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</si>
  <si>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</si>
  <si>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</si>
  <si>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</si>
  <si>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</si>
  <si>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</si>
  <si>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</si>
  <si>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</si>
  <si>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</si>
  <si>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</si>
  <si>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</si>
  <si>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</si>
  <si>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</si>
  <si>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</si>
  <si>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</si>
  <si>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</si>
  <si>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</si>
  <si>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</si>
  <si>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</si>
  <si>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</si>
  <si>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</si>
  <si>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</si>
  <si>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</si>
  <si>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</si>
  <si>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</si>
  <si>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</si>
  <si>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</si>
  <si>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</si>
  <si>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</si>
  <si>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</si>
  <si>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</si>
  <si>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</si>
  <si>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</si>
  <si>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</si>
  <si>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</si>
  <si>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</si>
  <si>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</si>
  <si>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</si>
  <si>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</si>
  <si>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</si>
  <si>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</si>
  <si>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</si>
  <si>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</si>
  <si>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</si>
  <si>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</si>
  <si>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</si>
  <si>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</si>
  <si>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</si>
  <si>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</si>
  <si>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</si>
  <si>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</si>
  <si>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</si>
  <si>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</si>
  <si>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</si>
  <si>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</si>
  <si>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</si>
  <si>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</si>
  <si>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</si>
  <si>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</si>
  <si>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</si>
  <si>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</si>
  <si>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</si>
  <si>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</si>
  <si>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</si>
  <si>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</si>
  <si>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</si>
  <si>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</si>
  <si>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</si>
  <si>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</si>
  <si>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</si>
  <si>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</si>
  <si>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</si>
  <si>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</si>
  <si>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</si>
  <si>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</si>
  <si>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</si>
  <si>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</si>
  <si>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</si>
  <si>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</si>
  <si>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</si>
  <si>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</si>
  <si>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</si>
  <si>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</si>
  <si>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</si>
  <si>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</si>
  <si>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</si>
  <si>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</si>
  <si>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</si>
  <si>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</si>
  <si>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</si>
  <si>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</si>
  <si>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</si>
  <si>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</si>
  <si>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</si>
  <si>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</si>
  <si>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</si>
  <si>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</si>
  <si>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</si>
  <si>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</si>
  <si>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</si>
  <si>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</si>
  <si>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</si>
  <si>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</si>
  <si>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</si>
  <si>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</si>
  <si>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</si>
  <si>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</si>
  <si>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</si>
  <si>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</si>
  <si>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</si>
  <si>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</si>
  <si>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</si>
  <si>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</si>
  <si>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</si>
  <si>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</si>
  <si>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</si>
  <si>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</si>
  <si>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</si>
  <si>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</si>
  <si>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</si>
  <si>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</si>
  <si>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</si>
  <si>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</si>
  <si>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</si>
  <si>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</si>
  <si>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</si>
  <si>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</si>
  <si>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</si>
  <si>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</si>
  <si>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</si>
  <si>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</si>
  <si>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</si>
  <si>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</si>
  <si>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</si>
  <si>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</si>
  <si>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</si>
  <si>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</si>
  <si>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</si>
  <si>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</si>
  <si>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</si>
  <si>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24038</t>
  </si>
  <si>
    <t>HERENT</t>
  </si>
  <si>
    <t>Paarden&amp;pony's 200 - 600 kg</t>
  </si>
  <si>
    <t>Paarden&amp;pony's &lt; 200 kg</t>
  </si>
  <si>
    <t>Fluvius</t>
  </si>
  <si>
    <t>referentietaak LNE (2017); Jaarverslag De Lijn</t>
  </si>
  <si>
    <t>Middendorp Ronny</t>
  </si>
  <si>
    <t>Molenweg 11 , 3020 Veltem-Beisem</t>
  </si>
  <si>
    <t>WKK-0215 Middendorp Ronny</t>
  </si>
  <si>
    <t>interne verbrandingsmotor</t>
  </si>
  <si>
    <t>WKK interne verbrandinsgmotor (gas)</t>
  </si>
  <si>
    <t>IVERLEK</t>
  </si>
  <si>
    <t>Waterleau NewEnergy Ieper NV</t>
  </si>
  <si>
    <t>Radioweg 18 , 3020 Herent</t>
  </si>
  <si>
    <t>BGS-0080 Waterleau - agr.verg</t>
  </si>
  <si>
    <t>biogas - hoofdzakelijk agrarische stromen</t>
  </si>
  <si>
    <t>niet WKK interne verbrandingsmotor (gas)</t>
  </si>
  <si>
    <t>Bargiestraat 4 , 8900 Ieper</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</si>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</sst>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24038</v>
      </c>
      <c r="B6" s="386"/>
      <c r="C6" s="387"/>
    </row>
    <row r="7" spans="1:7" s="384" customFormat="1" ht="15.75" customHeight="1">
      <c r="A7" s="388" t="str">
        <f>txtMunicipality</f>
        <v>HERENT</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22171.426064165953</v>
      </c>
      <c r="D10" s="676">
        <f ca="1">tertiair!C16</f>
        <v>0</v>
      </c>
      <c r="E10" s="676">
        <f ca="1">tertiair!D16</f>
        <v>21708.132950169522</v>
      </c>
      <c r="F10" s="676">
        <f>tertiair!E16</f>
        <v>163.06654123202841</v>
      </c>
      <c r="G10" s="676">
        <f ca="1">tertiair!F16</f>
        <v>3916.1768136348937</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0</v>
      </c>
      <c r="Q10" s="677">
        <f>tertiair!P16</f>
        <v>76.266666666666666</v>
      </c>
      <c r="R10" s="679">
        <f ca="1">SUM(C10:Q10)</f>
        <v>48035.06903586907</v>
      </c>
      <c r="S10" s="68"/>
    </row>
    <row r="11" spans="1:19" s="445" customFormat="1">
      <c r="A11" s="791" t="s">
        <v>220</v>
      </c>
      <c r="B11" s="796"/>
      <c r="C11" s="676">
        <f>huishoudens!B8</f>
        <v>37308.71386257324</v>
      </c>
      <c r="D11" s="676">
        <f>huishoudens!C8</f>
        <v>0</v>
      </c>
      <c r="E11" s="676">
        <f>huishoudens!D8</f>
        <v>87254.860695417476</v>
      </c>
      <c r="F11" s="676">
        <f>huishoudens!E8</f>
        <v>1665.2203526388028</v>
      </c>
      <c r="G11" s="676">
        <f>huishoudens!F8</f>
        <v>50767.733924598557</v>
      </c>
      <c r="H11" s="676">
        <f>huishoudens!G8</f>
        <v>0</v>
      </c>
      <c r="I11" s="676">
        <f>huishoudens!H8</f>
        <v>0</v>
      </c>
      <c r="J11" s="676">
        <f>huishoudens!I8</f>
        <v>0</v>
      </c>
      <c r="K11" s="676">
        <f>huishoudens!J8</f>
        <v>921.16284225645541</v>
      </c>
      <c r="L11" s="676">
        <f>huishoudens!K8</f>
        <v>0</v>
      </c>
      <c r="M11" s="676">
        <f>huishoudens!L8</f>
        <v>0</v>
      </c>
      <c r="N11" s="676">
        <f>huishoudens!M8</f>
        <v>0</v>
      </c>
      <c r="O11" s="676">
        <f>huishoudens!N8</f>
        <v>11624.986651874024</v>
      </c>
      <c r="P11" s="676">
        <f>huishoudens!O8</f>
        <v>204.79666666666668</v>
      </c>
      <c r="Q11" s="677">
        <f>huishoudens!P8</f>
        <v>247.86666666666667</v>
      </c>
      <c r="R11" s="679">
        <f>SUM(C11:Q11)</f>
        <v>189995.34166269188</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9885.9783693868703</v>
      </c>
      <c r="D13" s="676">
        <f>industrie!C18</f>
        <v>0</v>
      </c>
      <c r="E13" s="676">
        <f>industrie!D18</f>
        <v>5796.3358445191461</v>
      </c>
      <c r="F13" s="676">
        <f>industrie!E18</f>
        <v>105.10435453512872</v>
      </c>
      <c r="G13" s="676">
        <f>industrie!F18</f>
        <v>2482.2008309889802</v>
      </c>
      <c r="H13" s="676">
        <f>industrie!G18</f>
        <v>0</v>
      </c>
      <c r="I13" s="676">
        <f>industrie!H18</f>
        <v>0</v>
      </c>
      <c r="J13" s="676">
        <f>industrie!I18</f>
        <v>0</v>
      </c>
      <c r="K13" s="676">
        <f>industrie!J18</f>
        <v>40.597567280589537</v>
      </c>
      <c r="L13" s="676">
        <f>industrie!K18</f>
        <v>0</v>
      </c>
      <c r="M13" s="676">
        <f>industrie!L18</f>
        <v>0</v>
      </c>
      <c r="N13" s="676">
        <f>industrie!M18</f>
        <v>0</v>
      </c>
      <c r="O13" s="676">
        <f>industrie!N18</f>
        <v>600.42639340025369</v>
      </c>
      <c r="P13" s="676">
        <f>industrie!O18</f>
        <v>0</v>
      </c>
      <c r="Q13" s="677">
        <f>industrie!P18</f>
        <v>0</v>
      </c>
      <c r="R13" s="679">
        <f>SUM(C13:Q13)</f>
        <v>18910.643360110967</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69366.118296126064</v>
      </c>
      <c r="D16" s="709">
        <f t="shared" ref="D16:R16" ca="1" si="0">SUM(D9:D15)</f>
        <v>0</v>
      </c>
      <c r="E16" s="709">
        <f t="shared" ca="1" si="0"/>
        <v>114759.32949010615</v>
      </c>
      <c r="F16" s="709">
        <f t="shared" si="0"/>
        <v>1933.3912484059599</v>
      </c>
      <c r="G16" s="709">
        <f t="shared" ca="1" si="0"/>
        <v>57166.111569222427</v>
      </c>
      <c r="H16" s="709">
        <f t="shared" si="0"/>
        <v>0</v>
      </c>
      <c r="I16" s="709">
        <f t="shared" si="0"/>
        <v>0</v>
      </c>
      <c r="J16" s="709">
        <f t="shared" si="0"/>
        <v>0</v>
      </c>
      <c r="K16" s="709">
        <f t="shared" si="0"/>
        <v>961.76040953704489</v>
      </c>
      <c r="L16" s="709">
        <f t="shared" si="0"/>
        <v>0</v>
      </c>
      <c r="M16" s="709">
        <f t="shared" ca="1" si="0"/>
        <v>0</v>
      </c>
      <c r="N16" s="709">
        <f t="shared" si="0"/>
        <v>0</v>
      </c>
      <c r="O16" s="709">
        <f t="shared" ca="1" si="0"/>
        <v>12225.413045274277</v>
      </c>
      <c r="P16" s="709">
        <f t="shared" si="0"/>
        <v>204.79666666666668</v>
      </c>
      <c r="Q16" s="709">
        <f t="shared" si="0"/>
        <v>324.13333333333333</v>
      </c>
      <c r="R16" s="709">
        <f t="shared" ca="1" si="0"/>
        <v>256941.0540586719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24.817572158501676</v>
      </c>
      <c r="D19" s="676">
        <f>transport!C54</f>
        <v>0</v>
      </c>
      <c r="E19" s="676">
        <f>transport!D54</f>
        <v>0</v>
      </c>
      <c r="F19" s="676">
        <f>transport!E54</f>
        <v>0</v>
      </c>
      <c r="G19" s="676">
        <f>transport!F54</f>
        <v>0</v>
      </c>
      <c r="H19" s="676">
        <f>transport!G54</f>
        <v>4949.9136964784448</v>
      </c>
      <c r="I19" s="676">
        <f>transport!H54</f>
        <v>0</v>
      </c>
      <c r="J19" s="676">
        <f>transport!I54</f>
        <v>0</v>
      </c>
      <c r="K19" s="676">
        <f>transport!J54</f>
        <v>0</v>
      </c>
      <c r="L19" s="676">
        <f>transport!K54</f>
        <v>0</v>
      </c>
      <c r="M19" s="676">
        <f>transport!L54</f>
        <v>0</v>
      </c>
      <c r="N19" s="676">
        <f>transport!M54</f>
        <v>218.78091343032682</v>
      </c>
      <c r="O19" s="676">
        <f>transport!N54</f>
        <v>0</v>
      </c>
      <c r="P19" s="676">
        <f>transport!O54</f>
        <v>0</v>
      </c>
      <c r="Q19" s="677">
        <f>transport!P54</f>
        <v>0</v>
      </c>
      <c r="R19" s="679">
        <f>SUM(C19:Q19)</f>
        <v>5193.5121820672739</v>
      </c>
      <c r="S19" s="68"/>
    </row>
    <row r="20" spans="1:19" s="445" customFormat="1">
      <c r="A20" s="791" t="s">
        <v>302</v>
      </c>
      <c r="B20" s="796"/>
      <c r="C20" s="676">
        <f>transport!B14</f>
        <v>4.8722155688199598</v>
      </c>
      <c r="D20" s="676">
        <f>transport!C14</f>
        <v>0</v>
      </c>
      <c r="E20" s="676">
        <f>transport!D14</f>
        <v>6.6359814211473553</v>
      </c>
      <c r="F20" s="676">
        <f>transport!E14</f>
        <v>428.43237452835899</v>
      </c>
      <c r="G20" s="676">
        <f>transport!F14</f>
        <v>0</v>
      </c>
      <c r="H20" s="676">
        <f>transport!G14</f>
        <v>84451.703656151847</v>
      </c>
      <c r="I20" s="676">
        <f>transport!H14</f>
        <v>15926.605940143709</v>
      </c>
      <c r="J20" s="676">
        <f>transport!I14</f>
        <v>0</v>
      </c>
      <c r="K20" s="676">
        <f>transport!J14</f>
        <v>0</v>
      </c>
      <c r="L20" s="676">
        <f>transport!K14</f>
        <v>0</v>
      </c>
      <c r="M20" s="676">
        <f>transport!L14</f>
        <v>0</v>
      </c>
      <c r="N20" s="676">
        <f>transport!M14</f>
        <v>4487.2606673454902</v>
      </c>
      <c r="O20" s="676">
        <f>transport!N14</f>
        <v>0</v>
      </c>
      <c r="P20" s="676">
        <f>transport!O14</f>
        <v>0</v>
      </c>
      <c r="Q20" s="677">
        <f>transport!P14</f>
        <v>0</v>
      </c>
      <c r="R20" s="679">
        <f>SUM(C20:Q20)</f>
        <v>105305.51083515937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29.689787727321637</v>
      </c>
      <c r="D22" s="794">
        <f t="shared" ref="D22:R22" si="1">SUM(D18:D21)</f>
        <v>0</v>
      </c>
      <c r="E22" s="794">
        <f t="shared" si="1"/>
        <v>6.6359814211473553</v>
      </c>
      <c r="F22" s="794">
        <f t="shared" si="1"/>
        <v>428.43237452835899</v>
      </c>
      <c r="G22" s="794">
        <f t="shared" si="1"/>
        <v>0</v>
      </c>
      <c r="H22" s="794">
        <f t="shared" si="1"/>
        <v>89401.617352630288</v>
      </c>
      <c r="I22" s="794">
        <f t="shared" si="1"/>
        <v>15926.605940143709</v>
      </c>
      <c r="J22" s="794">
        <f t="shared" si="1"/>
        <v>0</v>
      </c>
      <c r="K22" s="794">
        <f t="shared" si="1"/>
        <v>0</v>
      </c>
      <c r="L22" s="794">
        <f t="shared" si="1"/>
        <v>0</v>
      </c>
      <c r="M22" s="794">
        <f t="shared" si="1"/>
        <v>0</v>
      </c>
      <c r="N22" s="794">
        <f t="shared" si="1"/>
        <v>4706.0415807758172</v>
      </c>
      <c r="O22" s="794">
        <f t="shared" si="1"/>
        <v>0</v>
      </c>
      <c r="P22" s="794">
        <f t="shared" si="1"/>
        <v>0</v>
      </c>
      <c r="Q22" s="794">
        <f t="shared" si="1"/>
        <v>0</v>
      </c>
      <c r="R22" s="794">
        <f t="shared" si="1"/>
        <v>110499.02301722665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595.86677672813209</v>
      </c>
      <c r="D24" s="676">
        <f>+landbouw!C8</f>
        <v>12947.142857142855</v>
      </c>
      <c r="E24" s="676">
        <f>+landbouw!D8</f>
        <v>0</v>
      </c>
      <c r="F24" s="676">
        <f>+landbouw!E8</f>
        <v>5.6134642806158466</v>
      </c>
      <c r="G24" s="676">
        <f>+landbouw!F8</f>
        <v>1944.511043279969</v>
      </c>
      <c r="H24" s="676">
        <f>+landbouw!G8</f>
        <v>0</v>
      </c>
      <c r="I24" s="676">
        <f>+landbouw!H8</f>
        <v>0</v>
      </c>
      <c r="J24" s="676">
        <f>+landbouw!I8</f>
        <v>0</v>
      </c>
      <c r="K24" s="676">
        <f>+landbouw!J8</f>
        <v>73.71161857671521</v>
      </c>
      <c r="L24" s="676">
        <f>+landbouw!K8</f>
        <v>0</v>
      </c>
      <c r="M24" s="676">
        <f>+landbouw!L8</f>
        <v>0</v>
      </c>
      <c r="N24" s="676">
        <f>+landbouw!M8</f>
        <v>0</v>
      </c>
      <c r="O24" s="676">
        <f>+landbouw!N8</f>
        <v>0</v>
      </c>
      <c r="P24" s="676">
        <f>+landbouw!O8</f>
        <v>0</v>
      </c>
      <c r="Q24" s="677">
        <f>+landbouw!P8</f>
        <v>0</v>
      </c>
      <c r="R24" s="679">
        <f>SUM(C24:Q24)</f>
        <v>15566.845760008286</v>
      </c>
      <c r="S24" s="68"/>
    </row>
    <row r="25" spans="1:19" s="445" customFormat="1" ht="15" thickBot="1">
      <c r="A25" s="813" t="s">
        <v>879</v>
      </c>
      <c r="B25" s="979"/>
      <c r="C25" s="980">
        <f>IF(Onbekend_ele_kWh="---",0,Onbekend_ele_kWh)/1000+IF(REST_rest_ele_kWh="---",0,REST_rest_ele_kWh)/1000</f>
        <v>1703.90874931539</v>
      </c>
      <c r="D25" s="980"/>
      <c r="E25" s="980">
        <f>IF(onbekend_gas_kWh="---",0,onbekend_gas_kWh)/1000+IF(REST_rest_gas_kWh="---",0,REST_rest_gas_kWh)/1000</f>
        <v>2532.9025021320399</v>
      </c>
      <c r="F25" s="980"/>
      <c r="G25" s="980"/>
      <c r="H25" s="980"/>
      <c r="I25" s="980"/>
      <c r="J25" s="980"/>
      <c r="K25" s="980"/>
      <c r="L25" s="980"/>
      <c r="M25" s="980"/>
      <c r="N25" s="980"/>
      <c r="O25" s="980"/>
      <c r="P25" s="980"/>
      <c r="Q25" s="981"/>
      <c r="R25" s="679">
        <f>SUM(C25:Q25)</f>
        <v>4236.8112514474296</v>
      </c>
      <c r="S25" s="68"/>
    </row>
    <row r="26" spans="1:19" s="445" customFormat="1" ht="15.75" thickBot="1">
      <c r="A26" s="682" t="s">
        <v>880</v>
      </c>
      <c r="B26" s="799"/>
      <c r="C26" s="794">
        <f>SUM(C24:C25)</f>
        <v>2299.7755260435219</v>
      </c>
      <c r="D26" s="794">
        <f t="shared" ref="D26:R26" si="2">SUM(D24:D25)</f>
        <v>12947.142857142855</v>
      </c>
      <c r="E26" s="794">
        <f t="shared" si="2"/>
        <v>2532.9025021320399</v>
      </c>
      <c r="F26" s="794">
        <f t="shared" si="2"/>
        <v>5.6134642806158466</v>
      </c>
      <c r="G26" s="794">
        <f t="shared" si="2"/>
        <v>1944.511043279969</v>
      </c>
      <c r="H26" s="794">
        <f t="shared" si="2"/>
        <v>0</v>
      </c>
      <c r="I26" s="794">
        <f t="shared" si="2"/>
        <v>0</v>
      </c>
      <c r="J26" s="794">
        <f t="shared" si="2"/>
        <v>0</v>
      </c>
      <c r="K26" s="794">
        <f t="shared" si="2"/>
        <v>73.71161857671521</v>
      </c>
      <c r="L26" s="794">
        <f t="shared" si="2"/>
        <v>0</v>
      </c>
      <c r="M26" s="794">
        <f t="shared" si="2"/>
        <v>0</v>
      </c>
      <c r="N26" s="794">
        <f t="shared" si="2"/>
        <v>0</v>
      </c>
      <c r="O26" s="794">
        <f t="shared" si="2"/>
        <v>0</v>
      </c>
      <c r="P26" s="794">
        <f t="shared" si="2"/>
        <v>0</v>
      </c>
      <c r="Q26" s="794">
        <f t="shared" si="2"/>
        <v>0</v>
      </c>
      <c r="R26" s="794">
        <f t="shared" si="2"/>
        <v>19803.657011455714</v>
      </c>
      <c r="S26" s="68"/>
    </row>
    <row r="27" spans="1:19" s="445" customFormat="1" ht="17.25" thickTop="1" thickBot="1">
      <c r="A27" s="683" t="s">
        <v>115</v>
      </c>
      <c r="B27" s="786"/>
      <c r="C27" s="684">
        <f ca="1">C22+C16+C26</f>
        <v>71695.583609896901</v>
      </c>
      <c r="D27" s="684">
        <f t="shared" ref="D27:R27" ca="1" si="3">D22+D16+D26</f>
        <v>12947.142857142855</v>
      </c>
      <c r="E27" s="684">
        <f t="shared" ca="1" si="3"/>
        <v>117298.86797365933</v>
      </c>
      <c r="F27" s="684">
        <f t="shared" si="3"/>
        <v>2367.4370872149348</v>
      </c>
      <c r="G27" s="684">
        <f t="shared" ca="1" si="3"/>
        <v>59110.622612502397</v>
      </c>
      <c r="H27" s="684">
        <f t="shared" si="3"/>
        <v>89401.617352630288</v>
      </c>
      <c r="I27" s="684">
        <f t="shared" si="3"/>
        <v>15926.605940143709</v>
      </c>
      <c r="J27" s="684">
        <f t="shared" si="3"/>
        <v>0</v>
      </c>
      <c r="K27" s="684">
        <f t="shared" si="3"/>
        <v>1035.4720281137602</v>
      </c>
      <c r="L27" s="684">
        <f t="shared" si="3"/>
        <v>0</v>
      </c>
      <c r="M27" s="684">
        <f t="shared" ca="1" si="3"/>
        <v>0</v>
      </c>
      <c r="N27" s="684">
        <f t="shared" si="3"/>
        <v>4706.0415807758172</v>
      </c>
      <c r="O27" s="684">
        <f t="shared" ca="1" si="3"/>
        <v>12225.413045274277</v>
      </c>
      <c r="P27" s="684">
        <f t="shared" si="3"/>
        <v>204.79666666666668</v>
      </c>
      <c r="Q27" s="684">
        <f t="shared" si="3"/>
        <v>324.13333333333333</v>
      </c>
      <c r="R27" s="684">
        <f t="shared" ca="1" si="3"/>
        <v>387243.73408735427</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4618.1784764180229</v>
      </c>
      <c r="D40" s="676">
        <f ca="1">tertiair!C20</f>
        <v>0</v>
      </c>
      <c r="E40" s="676">
        <f ca="1">tertiair!D20</f>
        <v>4385.0428559342436</v>
      </c>
      <c r="F40" s="676">
        <f>tertiair!E20</f>
        <v>37.016104859670449</v>
      </c>
      <c r="G40" s="676">
        <f ca="1">tertiair!F20</f>
        <v>1045.6192092405167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10085.856646452454</v>
      </c>
    </row>
    <row r="41" spans="1:18">
      <c r="A41" s="804" t="s">
        <v>220</v>
      </c>
      <c r="B41" s="811"/>
      <c r="C41" s="676">
        <f ca="1">huishoudens!B12</f>
        <v>7771.1870605133299</v>
      </c>
      <c r="D41" s="676">
        <f ca="1">huishoudens!C12</f>
        <v>0</v>
      </c>
      <c r="E41" s="676">
        <f>huishoudens!D12</f>
        <v>17625.48186047433</v>
      </c>
      <c r="F41" s="676">
        <f>huishoudens!E12</f>
        <v>378.00502004900824</v>
      </c>
      <c r="G41" s="676">
        <f>huishoudens!F12</f>
        <v>13554.984957867815</v>
      </c>
      <c r="H41" s="676">
        <f>huishoudens!G12</f>
        <v>0</v>
      </c>
      <c r="I41" s="676">
        <f>huishoudens!H12</f>
        <v>0</v>
      </c>
      <c r="J41" s="676">
        <f>huishoudens!I12</f>
        <v>0</v>
      </c>
      <c r="K41" s="676">
        <f>huishoudens!J12</f>
        <v>326.09164615878518</v>
      </c>
      <c r="L41" s="676">
        <f>huishoudens!K12</f>
        <v>0</v>
      </c>
      <c r="M41" s="676">
        <f>huishoudens!L12</f>
        <v>0</v>
      </c>
      <c r="N41" s="676">
        <f>huishoudens!M12</f>
        <v>0</v>
      </c>
      <c r="O41" s="676">
        <f>huishoudens!N12</f>
        <v>0</v>
      </c>
      <c r="P41" s="676">
        <f>huishoudens!O12</f>
        <v>0</v>
      </c>
      <c r="Q41" s="751">
        <f>huishoudens!P12</f>
        <v>0</v>
      </c>
      <c r="R41" s="832">
        <f t="shared" ca="1" si="4"/>
        <v>39655.750545063267</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2059.1915193775358</v>
      </c>
      <c r="D43" s="676">
        <f ca="1">industrie!C22</f>
        <v>0</v>
      </c>
      <c r="E43" s="676">
        <f>industrie!D22</f>
        <v>1170.8598405928676</v>
      </c>
      <c r="F43" s="676">
        <f>industrie!E22</f>
        <v>23.858688479474221</v>
      </c>
      <c r="G43" s="676">
        <f>industrie!F22</f>
        <v>662.7476218740577</v>
      </c>
      <c r="H43" s="676">
        <f>industrie!G22</f>
        <v>0</v>
      </c>
      <c r="I43" s="676">
        <f>industrie!H22</f>
        <v>0</v>
      </c>
      <c r="J43" s="676">
        <f>industrie!I22</f>
        <v>0</v>
      </c>
      <c r="K43" s="676">
        <f>industrie!J22</f>
        <v>14.371538817328695</v>
      </c>
      <c r="L43" s="676">
        <f>industrie!K22</f>
        <v>0</v>
      </c>
      <c r="M43" s="676">
        <f>industrie!L22</f>
        <v>0</v>
      </c>
      <c r="N43" s="676">
        <f>industrie!M22</f>
        <v>0</v>
      </c>
      <c r="O43" s="676">
        <f>industrie!N22</f>
        <v>0</v>
      </c>
      <c r="P43" s="676">
        <f>industrie!O22</f>
        <v>0</v>
      </c>
      <c r="Q43" s="751">
        <f>industrie!P22</f>
        <v>0</v>
      </c>
      <c r="R43" s="831">
        <f t="shared" ca="1" si="4"/>
        <v>3931.0292091412639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14448.557056308888</v>
      </c>
      <c r="D46" s="709">
        <f t="shared" ref="D46:Q46" ca="1" si="5">SUM(D39:D45)</f>
        <v>0</v>
      </c>
      <c r="E46" s="709">
        <f t="shared" ca="1" si="5"/>
        <v>23181.384557001442</v>
      </c>
      <c r="F46" s="709">
        <f t="shared" si="5"/>
        <v>438.87981338815291</v>
      </c>
      <c r="G46" s="709">
        <f t="shared" ca="1" si="5"/>
        <v>15263.351788982389</v>
      </c>
      <c r="H46" s="709">
        <f t="shared" si="5"/>
        <v>0</v>
      </c>
      <c r="I46" s="709">
        <f t="shared" si="5"/>
        <v>0</v>
      </c>
      <c r="J46" s="709">
        <f t="shared" si="5"/>
        <v>0</v>
      </c>
      <c r="K46" s="709">
        <f t="shared" si="5"/>
        <v>340.46318497611389</v>
      </c>
      <c r="L46" s="709">
        <f t="shared" si="5"/>
        <v>0</v>
      </c>
      <c r="M46" s="709">
        <f t="shared" ca="1" si="5"/>
        <v>0</v>
      </c>
      <c r="N46" s="709">
        <f t="shared" si="5"/>
        <v>0</v>
      </c>
      <c r="O46" s="709">
        <f t="shared" ca="1" si="5"/>
        <v>0</v>
      </c>
      <c r="P46" s="709">
        <f t="shared" si="5"/>
        <v>0</v>
      </c>
      <c r="Q46" s="709">
        <f t="shared" si="5"/>
        <v>0</v>
      </c>
      <c r="R46" s="709">
        <f ca="1">SUM(R39:R45)</f>
        <v>53672.636400656986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5.1693552434402275</v>
      </c>
      <c r="D49" s="676">
        <f ca="1">transport!C58</f>
        <v>0</v>
      </c>
      <c r="E49" s="676">
        <f>transport!D58</f>
        <v>0</v>
      </c>
      <c r="F49" s="676">
        <f>transport!E58</f>
        <v>0</v>
      </c>
      <c r="G49" s="676">
        <f>transport!F58</f>
        <v>0</v>
      </c>
      <c r="H49" s="676">
        <f>transport!G58</f>
        <v>1321.6269569597448</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1326.7963122031849</v>
      </c>
    </row>
    <row r="50" spans="1:18">
      <c r="A50" s="807" t="s">
        <v>302</v>
      </c>
      <c r="B50" s="817"/>
      <c r="C50" s="986">
        <f ca="1">transport!B18</f>
        <v>1.0148540291126991</v>
      </c>
      <c r="D50" s="986">
        <f>transport!C18</f>
        <v>0</v>
      </c>
      <c r="E50" s="986">
        <f>transport!D18</f>
        <v>1.3404682470717659</v>
      </c>
      <c r="F50" s="986">
        <f>transport!E18</f>
        <v>97.254149017937493</v>
      </c>
      <c r="G50" s="986">
        <f>transport!F18</f>
        <v>0</v>
      </c>
      <c r="H50" s="986">
        <f>transport!G18</f>
        <v>22548.604876192545</v>
      </c>
      <c r="I50" s="986">
        <f>transport!H18</f>
        <v>3965.7248790957833</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26613.93922658245</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6.184209272552927</v>
      </c>
      <c r="D52" s="709">
        <f t="shared" ref="D52:Q52" ca="1" si="6">SUM(D48:D51)</f>
        <v>0</v>
      </c>
      <c r="E52" s="709">
        <f t="shared" si="6"/>
        <v>1.3404682470717659</v>
      </c>
      <c r="F52" s="709">
        <f t="shared" si="6"/>
        <v>97.254149017937493</v>
      </c>
      <c r="G52" s="709">
        <f t="shared" si="6"/>
        <v>0</v>
      </c>
      <c r="H52" s="709">
        <f t="shared" si="6"/>
        <v>23870.231833152291</v>
      </c>
      <c r="I52" s="709">
        <f t="shared" si="6"/>
        <v>3965.7248790957833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27940.735538785633</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124.11556726817884</v>
      </c>
      <c r="D54" s="986">
        <f ca="1">+landbouw!C12</f>
        <v>3076.8504201680662</v>
      </c>
      <c r="E54" s="986">
        <f>+landbouw!D12</f>
        <v>0</v>
      </c>
      <c r="F54" s="986">
        <f>+landbouw!E12</f>
        <v>1.2742563916997973</v>
      </c>
      <c r="G54" s="986">
        <f>+landbouw!F12</f>
        <v>519.18444855575171</v>
      </c>
      <c r="H54" s="986">
        <f>+landbouw!G12</f>
        <v>0</v>
      </c>
      <c r="I54" s="986">
        <f>+landbouw!H12</f>
        <v>0</v>
      </c>
      <c r="J54" s="986">
        <f>+landbouw!I12</f>
        <v>0</v>
      </c>
      <c r="K54" s="986">
        <f>+landbouw!J12</f>
        <v>26.093912976157185</v>
      </c>
      <c r="L54" s="986">
        <f>+landbouw!K12</f>
        <v>0</v>
      </c>
      <c r="M54" s="986">
        <f>+landbouw!L12</f>
        <v>0</v>
      </c>
      <c r="N54" s="986">
        <f>+landbouw!M12</f>
        <v>0</v>
      </c>
      <c r="O54" s="986">
        <f>+landbouw!N12</f>
        <v>0</v>
      </c>
      <c r="P54" s="986">
        <f>+landbouw!O12</f>
        <v>0</v>
      </c>
      <c r="Q54" s="987">
        <f>+landbouw!P12</f>
        <v>0</v>
      </c>
      <c r="R54" s="708">
        <f ca="1">SUM(C54:Q54)</f>
        <v>3747.5186053598541</v>
      </c>
    </row>
    <row r="55" spans="1:18" ht="15" thickBot="1">
      <c r="A55" s="807" t="s">
        <v>879</v>
      </c>
      <c r="B55" s="817"/>
      <c r="C55" s="986">
        <f ca="1">C25*'EF ele_warmte'!B12</f>
        <v>354.91423461419555</v>
      </c>
      <c r="D55" s="986"/>
      <c r="E55" s="986">
        <f>E25*EF_CO2_aardgas</f>
        <v>511.6463054306721</v>
      </c>
      <c r="F55" s="986"/>
      <c r="G55" s="986"/>
      <c r="H55" s="986"/>
      <c r="I55" s="986"/>
      <c r="J55" s="986"/>
      <c r="K55" s="986"/>
      <c r="L55" s="986"/>
      <c r="M55" s="986"/>
      <c r="N55" s="986"/>
      <c r="O55" s="986"/>
      <c r="P55" s="986"/>
      <c r="Q55" s="987"/>
      <c r="R55" s="708">
        <f ca="1">SUM(C55:Q55)</f>
        <v>866.56054004486759</v>
      </c>
    </row>
    <row r="56" spans="1:18" ht="15.75" thickBot="1">
      <c r="A56" s="805" t="s">
        <v>880</v>
      </c>
      <c r="B56" s="818"/>
      <c r="C56" s="709">
        <f ca="1">SUM(C54:C55)</f>
        <v>479.02980188237439</v>
      </c>
      <c r="D56" s="709">
        <f t="shared" ref="D56:Q56" ca="1" si="7">SUM(D54:D55)</f>
        <v>3076.8504201680662</v>
      </c>
      <c r="E56" s="709">
        <f t="shared" si="7"/>
        <v>511.6463054306721</v>
      </c>
      <c r="F56" s="709">
        <f t="shared" si="7"/>
        <v>1.2742563916997973</v>
      </c>
      <c r="G56" s="709">
        <f t="shared" si="7"/>
        <v>519.18444855575171</v>
      </c>
      <c r="H56" s="709">
        <f t="shared" si="7"/>
        <v>0</v>
      </c>
      <c r="I56" s="709">
        <f t="shared" si="7"/>
        <v>0</v>
      </c>
      <c r="J56" s="709">
        <f t="shared" si="7"/>
        <v>0</v>
      </c>
      <c r="K56" s="709">
        <f t="shared" si="7"/>
        <v>26.093912976157185</v>
      </c>
      <c r="L56" s="709">
        <f t="shared" si="7"/>
        <v>0</v>
      </c>
      <c r="M56" s="709">
        <f t="shared" si="7"/>
        <v>0</v>
      </c>
      <c r="N56" s="709">
        <f t="shared" si="7"/>
        <v>0</v>
      </c>
      <c r="O56" s="709">
        <f t="shared" si="7"/>
        <v>0</v>
      </c>
      <c r="P56" s="709">
        <f t="shared" si="7"/>
        <v>0</v>
      </c>
      <c r="Q56" s="710">
        <f t="shared" si="7"/>
        <v>0</v>
      </c>
      <c r="R56" s="711">
        <f ca="1">SUM(R54:R55)</f>
        <v>4614.0791454047212</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14933.771067463815</v>
      </c>
      <c r="D61" s="717">
        <f t="shared" ref="D61:Q61" ca="1" si="8">D46+D52+D56</f>
        <v>3076.8504201680662</v>
      </c>
      <c r="E61" s="717">
        <f t="shared" ca="1" si="8"/>
        <v>23694.371330679187</v>
      </c>
      <c r="F61" s="717">
        <f t="shared" si="8"/>
        <v>537.40821879779025</v>
      </c>
      <c r="G61" s="717">
        <f t="shared" ca="1" si="8"/>
        <v>15782.536237538141</v>
      </c>
      <c r="H61" s="717">
        <f t="shared" si="8"/>
        <v>23870.231833152291</v>
      </c>
      <c r="I61" s="717">
        <f t="shared" si="8"/>
        <v>3965.7248790957833</v>
      </c>
      <c r="J61" s="717">
        <f t="shared" si="8"/>
        <v>0</v>
      </c>
      <c r="K61" s="717">
        <f t="shared" si="8"/>
        <v>366.55709795227108</v>
      </c>
      <c r="L61" s="717">
        <f t="shared" si="8"/>
        <v>0</v>
      </c>
      <c r="M61" s="717">
        <f t="shared" ca="1" si="8"/>
        <v>0</v>
      </c>
      <c r="N61" s="717">
        <f t="shared" si="8"/>
        <v>0</v>
      </c>
      <c r="O61" s="717">
        <f t="shared" ca="1" si="8"/>
        <v>0</v>
      </c>
      <c r="P61" s="717">
        <f t="shared" si="8"/>
        <v>0</v>
      </c>
      <c r="Q61" s="717">
        <f t="shared" si="8"/>
        <v>0</v>
      </c>
      <c r="R61" s="717">
        <f ca="1">R46+R52+R56</f>
        <v>86227.451084847329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0.20829415586767533</v>
      </c>
      <c r="D63" s="761">
        <f t="shared" ca="1" si="9"/>
        <v>0.23764705882352938</v>
      </c>
      <c r="E63" s="988">
        <f t="shared" ca="1" si="9"/>
        <v>0.20200000000000001</v>
      </c>
      <c r="F63" s="761">
        <f t="shared" si="9"/>
        <v>0.22700000000000004</v>
      </c>
      <c r="G63" s="761">
        <f t="shared" ca="1" si="9"/>
        <v>0.26700000000000002</v>
      </c>
      <c r="H63" s="761">
        <f t="shared" si="9"/>
        <v>0.26700000000000007</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3607.6389341223871</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9062.9999999999982</v>
      </c>
      <c r="D76" s="998">
        <f>'lokale energieproductie'!C8</f>
        <v>10662.352941176468</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2153.7952941176468</v>
      </c>
      <c r="R76" s="834">
        <v>0</v>
      </c>
    </row>
    <row r="77" spans="1:18" ht="30.75" thickBot="1">
      <c r="A77" s="730" t="s">
        <v>346</v>
      </c>
      <c r="B77" s="727">
        <f>'lokale energieproductie'!B9*IFERROR(SUM(I77:O77)/SUM(D77:O77),0)</f>
        <v>1197</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3420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4804.6389341223876</v>
      </c>
      <c r="C78" s="732">
        <f>SUM(C72:C77)</f>
        <v>9062.9999999999982</v>
      </c>
      <c r="D78" s="733">
        <f t="shared" ref="D78:H78" si="10">SUM(D76:D77)</f>
        <v>10662.352941176468</v>
      </c>
      <c r="E78" s="733">
        <f t="shared" si="10"/>
        <v>0</v>
      </c>
      <c r="F78" s="733">
        <f t="shared" si="10"/>
        <v>0</v>
      </c>
      <c r="G78" s="733">
        <f t="shared" si="10"/>
        <v>0</v>
      </c>
      <c r="H78" s="733">
        <f t="shared" si="10"/>
        <v>0</v>
      </c>
      <c r="I78" s="733">
        <f>SUM(I76:I77)</f>
        <v>0</v>
      </c>
      <c r="J78" s="733">
        <f>SUM(J76:J77)</f>
        <v>3420</v>
      </c>
      <c r="K78" s="733">
        <f t="shared" ref="K78:L78" si="11">SUM(K76:K77)</f>
        <v>0</v>
      </c>
      <c r="L78" s="733">
        <f t="shared" si="11"/>
        <v>0</v>
      </c>
      <c r="M78" s="733">
        <f>SUM(M76:M77)</f>
        <v>0</v>
      </c>
      <c r="N78" s="733">
        <f>SUM(N76:N77)</f>
        <v>0</v>
      </c>
      <c r="O78" s="842">
        <f>SUM(O76:O77)</f>
        <v>0</v>
      </c>
      <c r="P78" s="734">
        <v>0</v>
      </c>
      <c r="Q78" s="734">
        <f>SUM(Q76:Q77)</f>
        <v>2153.7952941176468</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12947.142857142855</v>
      </c>
      <c r="D87" s="754">
        <f>'lokale energieproductie'!C17</f>
        <v>15231.932773109238</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3076.8504201680662</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12947.142857142855</v>
      </c>
      <c r="D90" s="732">
        <f t="shared" ref="D90:H90" si="12">SUM(D87:D89)</f>
        <v>15231.932773109238</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3076.8504201680662</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37308.71386257324</v>
      </c>
      <c r="C4" s="449">
        <f>huishoudens!C8</f>
        <v>0</v>
      </c>
      <c r="D4" s="449">
        <f>huishoudens!D8</f>
        <v>87254.860695417476</v>
      </c>
      <c r="E4" s="449">
        <f>huishoudens!E8</f>
        <v>1665.2203526388028</v>
      </c>
      <c r="F4" s="449">
        <f>huishoudens!F8</f>
        <v>50767.733924598557</v>
      </c>
      <c r="G4" s="449">
        <f>huishoudens!G8</f>
        <v>0</v>
      </c>
      <c r="H4" s="449">
        <f>huishoudens!H8</f>
        <v>0</v>
      </c>
      <c r="I4" s="449">
        <f>huishoudens!I8</f>
        <v>0</v>
      </c>
      <c r="J4" s="449">
        <f>huishoudens!J8</f>
        <v>921.16284225645541</v>
      </c>
      <c r="K4" s="449">
        <f>huishoudens!K8</f>
        <v>0</v>
      </c>
      <c r="L4" s="449">
        <f>huishoudens!L8</f>
        <v>0</v>
      </c>
      <c r="M4" s="449">
        <f>huishoudens!M8</f>
        <v>0</v>
      </c>
      <c r="N4" s="449">
        <f>huishoudens!N8</f>
        <v>11624.986651874024</v>
      </c>
      <c r="O4" s="449">
        <f>huishoudens!O8</f>
        <v>204.79666666666668</v>
      </c>
      <c r="P4" s="450">
        <f>huishoudens!P8</f>
        <v>247.86666666666667</v>
      </c>
      <c r="Q4" s="451">
        <f>SUM(B4:P4)</f>
        <v>189995.34166269188</v>
      </c>
    </row>
    <row r="5" spans="1:17">
      <c r="A5" s="448" t="s">
        <v>155</v>
      </c>
      <c r="B5" s="449">
        <f ca="1">tertiair!B16</f>
        <v>20638.700064165954</v>
      </c>
      <c r="C5" s="449">
        <f ca="1">tertiair!C16</f>
        <v>0</v>
      </c>
      <c r="D5" s="449">
        <f ca="1">tertiair!D16</f>
        <v>21708.132950169522</v>
      </c>
      <c r="E5" s="449">
        <f>tertiair!E16</f>
        <v>163.06654123202841</v>
      </c>
      <c r="F5" s="449">
        <f ca="1">tertiair!F16</f>
        <v>3916.1768136348937</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0</v>
      </c>
      <c r="P5" s="450">
        <f>tertiair!P16</f>
        <v>76.266666666666666</v>
      </c>
      <c r="Q5" s="448">
        <f t="shared" ref="Q5:Q14" ca="1" si="0">SUM(B5:P5)</f>
        <v>46502.343035869068</v>
      </c>
    </row>
    <row r="6" spans="1:17">
      <c r="A6" s="448" t="s">
        <v>193</v>
      </c>
      <c r="B6" s="449">
        <f>'openbare verlichting'!B8</f>
        <v>1532.7260000000001</v>
      </c>
      <c r="C6" s="449"/>
      <c r="D6" s="449"/>
      <c r="E6" s="449"/>
      <c r="F6" s="449"/>
      <c r="G6" s="449"/>
      <c r="H6" s="449"/>
      <c r="I6" s="449"/>
      <c r="J6" s="449"/>
      <c r="K6" s="449"/>
      <c r="L6" s="449"/>
      <c r="M6" s="449"/>
      <c r="N6" s="449"/>
      <c r="O6" s="449"/>
      <c r="P6" s="450"/>
      <c r="Q6" s="448">
        <f t="shared" si="0"/>
        <v>1532.7260000000001</v>
      </c>
    </row>
    <row r="7" spans="1:17">
      <c r="A7" s="448" t="s">
        <v>111</v>
      </c>
      <c r="B7" s="449">
        <f>landbouw!B8</f>
        <v>595.86677672813209</v>
      </c>
      <c r="C7" s="449">
        <f>landbouw!C8</f>
        <v>12947.142857142855</v>
      </c>
      <c r="D7" s="449">
        <f>landbouw!D8</f>
        <v>0</v>
      </c>
      <c r="E7" s="449">
        <f>landbouw!E8</f>
        <v>5.6134642806158466</v>
      </c>
      <c r="F7" s="449">
        <f>landbouw!F8</f>
        <v>1944.511043279969</v>
      </c>
      <c r="G7" s="449">
        <f>landbouw!G8</f>
        <v>0</v>
      </c>
      <c r="H7" s="449">
        <f>landbouw!H8</f>
        <v>0</v>
      </c>
      <c r="I7" s="449">
        <f>landbouw!I8</f>
        <v>0</v>
      </c>
      <c r="J7" s="449">
        <f>landbouw!J8</f>
        <v>73.71161857671521</v>
      </c>
      <c r="K7" s="449">
        <f>landbouw!K8</f>
        <v>0</v>
      </c>
      <c r="L7" s="449">
        <f>landbouw!L8</f>
        <v>0</v>
      </c>
      <c r="M7" s="449">
        <f>landbouw!M8</f>
        <v>0</v>
      </c>
      <c r="N7" s="449">
        <f>landbouw!N8</f>
        <v>0</v>
      </c>
      <c r="O7" s="449">
        <f>landbouw!O8</f>
        <v>0</v>
      </c>
      <c r="P7" s="450">
        <f>landbouw!P8</f>
        <v>0</v>
      </c>
      <c r="Q7" s="448">
        <f t="shared" si="0"/>
        <v>15566.845760008286</v>
      </c>
    </row>
    <row r="8" spans="1:17">
      <c r="A8" s="448" t="s">
        <v>671</v>
      </c>
      <c r="B8" s="449">
        <f>industrie!B18</f>
        <v>9885.9783693868703</v>
      </c>
      <c r="C8" s="449">
        <f>industrie!C18</f>
        <v>0</v>
      </c>
      <c r="D8" s="449">
        <f>industrie!D18</f>
        <v>5796.3358445191461</v>
      </c>
      <c r="E8" s="449">
        <f>industrie!E18</f>
        <v>105.10435453512872</v>
      </c>
      <c r="F8" s="449">
        <f>industrie!F18</f>
        <v>2482.2008309889802</v>
      </c>
      <c r="G8" s="449">
        <f>industrie!G18</f>
        <v>0</v>
      </c>
      <c r="H8" s="449">
        <f>industrie!H18</f>
        <v>0</v>
      </c>
      <c r="I8" s="449">
        <f>industrie!I18</f>
        <v>0</v>
      </c>
      <c r="J8" s="449">
        <f>industrie!J18</f>
        <v>40.597567280589537</v>
      </c>
      <c r="K8" s="449">
        <f>industrie!K18</f>
        <v>0</v>
      </c>
      <c r="L8" s="449">
        <f>industrie!L18</f>
        <v>0</v>
      </c>
      <c r="M8" s="449">
        <f>industrie!M18</f>
        <v>0</v>
      </c>
      <c r="N8" s="449">
        <f>industrie!N18</f>
        <v>600.42639340025369</v>
      </c>
      <c r="O8" s="449">
        <f>industrie!O18</f>
        <v>0</v>
      </c>
      <c r="P8" s="450">
        <f>industrie!P18</f>
        <v>0</v>
      </c>
      <c r="Q8" s="448">
        <f t="shared" si="0"/>
        <v>18910.643360110967</v>
      </c>
    </row>
    <row r="9" spans="1:17" s="454" customFormat="1">
      <c r="A9" s="452" t="s">
        <v>568</v>
      </c>
      <c r="B9" s="453">
        <f>transport!B14</f>
        <v>4.8722155688199598</v>
      </c>
      <c r="C9" s="453">
        <f>transport!C14</f>
        <v>0</v>
      </c>
      <c r="D9" s="453">
        <f>transport!D14</f>
        <v>6.6359814211473553</v>
      </c>
      <c r="E9" s="453">
        <f>transport!E14</f>
        <v>428.43237452835899</v>
      </c>
      <c r="F9" s="453">
        <f>transport!F14</f>
        <v>0</v>
      </c>
      <c r="G9" s="453">
        <f>transport!G14</f>
        <v>84451.703656151847</v>
      </c>
      <c r="H9" s="453">
        <f>transport!H14</f>
        <v>15926.605940143709</v>
      </c>
      <c r="I9" s="453">
        <f>transport!I14</f>
        <v>0</v>
      </c>
      <c r="J9" s="453">
        <f>transport!J14</f>
        <v>0</v>
      </c>
      <c r="K9" s="453">
        <f>transport!K14</f>
        <v>0</v>
      </c>
      <c r="L9" s="453">
        <f>transport!L14</f>
        <v>0</v>
      </c>
      <c r="M9" s="453">
        <f>transport!M14</f>
        <v>4487.2606673454902</v>
      </c>
      <c r="N9" s="453">
        <f>transport!N14</f>
        <v>0</v>
      </c>
      <c r="O9" s="453">
        <f>transport!O14</f>
        <v>0</v>
      </c>
      <c r="P9" s="453">
        <f>transport!P14</f>
        <v>0</v>
      </c>
      <c r="Q9" s="452">
        <f>SUM(B9:P9)</f>
        <v>105305.51083515937</v>
      </c>
    </row>
    <row r="10" spans="1:17">
      <c r="A10" s="448" t="s">
        <v>558</v>
      </c>
      <c r="B10" s="449">
        <f>transport!B54</f>
        <v>24.817572158501676</v>
      </c>
      <c r="C10" s="449">
        <f>transport!C54</f>
        <v>0</v>
      </c>
      <c r="D10" s="449">
        <f>transport!D54</f>
        <v>0</v>
      </c>
      <c r="E10" s="449">
        <f>transport!E54</f>
        <v>0</v>
      </c>
      <c r="F10" s="449">
        <f>transport!F54</f>
        <v>0</v>
      </c>
      <c r="G10" s="449">
        <f>transport!G54</f>
        <v>4949.9136964784448</v>
      </c>
      <c r="H10" s="449">
        <f>transport!H54</f>
        <v>0</v>
      </c>
      <c r="I10" s="449">
        <f>transport!I54</f>
        <v>0</v>
      </c>
      <c r="J10" s="449">
        <f>transport!J54</f>
        <v>0</v>
      </c>
      <c r="K10" s="449">
        <f>transport!K54</f>
        <v>0</v>
      </c>
      <c r="L10" s="449">
        <f>transport!L54</f>
        <v>0</v>
      </c>
      <c r="M10" s="449">
        <f>transport!M54</f>
        <v>218.78091343032682</v>
      </c>
      <c r="N10" s="449">
        <f>transport!N54</f>
        <v>0</v>
      </c>
      <c r="O10" s="449">
        <f>transport!O54</f>
        <v>0</v>
      </c>
      <c r="P10" s="450">
        <f>transport!P54</f>
        <v>0</v>
      </c>
      <c r="Q10" s="448">
        <f t="shared" si="0"/>
        <v>5193.5121820672739</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1703.90874931539</v>
      </c>
      <c r="C14" s="456"/>
      <c r="D14" s="456">
        <f>'SEAP template'!E25</f>
        <v>2532.9025021320399</v>
      </c>
      <c r="E14" s="456"/>
      <c r="F14" s="456"/>
      <c r="G14" s="456"/>
      <c r="H14" s="456"/>
      <c r="I14" s="456"/>
      <c r="J14" s="456"/>
      <c r="K14" s="456"/>
      <c r="L14" s="456"/>
      <c r="M14" s="456"/>
      <c r="N14" s="456"/>
      <c r="O14" s="456"/>
      <c r="P14" s="457"/>
      <c r="Q14" s="448">
        <f t="shared" si="0"/>
        <v>4236.8112514474296</v>
      </c>
    </row>
    <row r="15" spans="1:17" s="461" customFormat="1">
      <c r="A15" s="458" t="s">
        <v>562</v>
      </c>
      <c r="B15" s="459">
        <f ca="1">SUM(B4:B14)</f>
        <v>71695.583609896901</v>
      </c>
      <c r="C15" s="459">
        <f t="shared" ref="C15:Q15" ca="1" si="1">SUM(C4:C14)</f>
        <v>12947.142857142855</v>
      </c>
      <c r="D15" s="459">
        <f t="shared" ca="1" si="1"/>
        <v>117298.86797365933</v>
      </c>
      <c r="E15" s="459">
        <f t="shared" si="1"/>
        <v>2367.4370872149348</v>
      </c>
      <c r="F15" s="459">
        <f t="shared" ca="1" si="1"/>
        <v>59110.622612502397</v>
      </c>
      <c r="G15" s="459">
        <f t="shared" si="1"/>
        <v>89401.617352630288</v>
      </c>
      <c r="H15" s="459">
        <f t="shared" si="1"/>
        <v>15926.605940143709</v>
      </c>
      <c r="I15" s="459">
        <f t="shared" si="1"/>
        <v>0</v>
      </c>
      <c r="J15" s="459">
        <f t="shared" si="1"/>
        <v>1035.4720281137602</v>
      </c>
      <c r="K15" s="459">
        <f t="shared" si="1"/>
        <v>0</v>
      </c>
      <c r="L15" s="459">
        <f t="shared" ca="1" si="1"/>
        <v>0</v>
      </c>
      <c r="M15" s="459">
        <f t="shared" si="1"/>
        <v>4706.0415807758172</v>
      </c>
      <c r="N15" s="459">
        <f t="shared" ca="1" si="1"/>
        <v>12225.413045274277</v>
      </c>
      <c r="O15" s="459">
        <f t="shared" si="1"/>
        <v>204.79666666666668</v>
      </c>
      <c r="P15" s="459">
        <f t="shared" si="1"/>
        <v>324.13333333333333</v>
      </c>
      <c r="Q15" s="459">
        <f t="shared" ca="1" si="1"/>
        <v>387243.73408735427</v>
      </c>
    </row>
    <row r="17" spans="1:17">
      <c r="A17" s="462" t="s">
        <v>563</v>
      </c>
      <c r="B17" s="766">
        <f ca="1">huishoudens!B10</f>
        <v>0.20829415586767533</v>
      </c>
      <c r="C17" s="766">
        <f ca="1">huishoudens!C10</f>
        <v>0.23764705882352938</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7771.1870605133299</v>
      </c>
      <c r="C22" s="449">
        <f t="shared" ref="C22:C32" ca="1" si="3">C4*$C$17</f>
        <v>0</v>
      </c>
      <c r="D22" s="449">
        <f t="shared" ref="D22:D32" si="4">D4*$D$17</f>
        <v>17625.48186047433</v>
      </c>
      <c r="E22" s="449">
        <f t="shared" ref="E22:E32" si="5">E4*$E$17</f>
        <v>378.00502004900824</v>
      </c>
      <c r="F22" s="449">
        <f t="shared" ref="F22:F32" si="6">F4*$F$17</f>
        <v>13554.984957867815</v>
      </c>
      <c r="G22" s="449">
        <f t="shared" ref="G22:G32" si="7">G4*$G$17</f>
        <v>0</v>
      </c>
      <c r="H22" s="449">
        <f t="shared" ref="H22:H32" si="8">H4*$H$17</f>
        <v>0</v>
      </c>
      <c r="I22" s="449">
        <f t="shared" ref="I22:I32" si="9">I4*$I$17</f>
        <v>0</v>
      </c>
      <c r="J22" s="449">
        <f t="shared" ref="J22:J32" si="10">J4*$J$17</f>
        <v>326.09164615878518</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39655.750545063267</v>
      </c>
    </row>
    <row r="23" spans="1:17">
      <c r="A23" s="448" t="s">
        <v>155</v>
      </c>
      <c r="B23" s="449">
        <f t="shared" ca="1" si="2"/>
        <v>4298.920608071584</v>
      </c>
      <c r="C23" s="449">
        <f t="shared" ca="1" si="3"/>
        <v>0</v>
      </c>
      <c r="D23" s="449">
        <f t="shared" ca="1" si="4"/>
        <v>4385.0428559342436</v>
      </c>
      <c r="E23" s="449">
        <f t="shared" si="5"/>
        <v>37.016104859670449</v>
      </c>
      <c r="F23" s="449">
        <f t="shared" ca="1" si="6"/>
        <v>1045.6192092405167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9766.5987781060157</v>
      </c>
    </row>
    <row r="24" spans="1:17">
      <c r="A24" s="448" t="s">
        <v>193</v>
      </c>
      <c r="B24" s="449">
        <f t="shared" ca="1" si="2"/>
        <v>319.25786834643856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319.25786834643856</v>
      </c>
    </row>
    <row r="25" spans="1:17">
      <c r="A25" s="448" t="s">
        <v>111</v>
      </c>
      <c r="B25" s="449">
        <f t="shared" ca="1" si="2"/>
        <v>124.11556726817884</v>
      </c>
      <c r="C25" s="449">
        <f t="shared" ca="1" si="3"/>
        <v>3076.8504201680662</v>
      </c>
      <c r="D25" s="449">
        <f t="shared" si="4"/>
        <v>0</v>
      </c>
      <c r="E25" s="449">
        <f t="shared" si="5"/>
        <v>1.2742563916997973</v>
      </c>
      <c r="F25" s="449">
        <f t="shared" si="6"/>
        <v>519.18444855575171</v>
      </c>
      <c r="G25" s="449">
        <f t="shared" si="7"/>
        <v>0</v>
      </c>
      <c r="H25" s="449">
        <f t="shared" si="8"/>
        <v>0</v>
      </c>
      <c r="I25" s="449">
        <f t="shared" si="9"/>
        <v>0</v>
      </c>
      <c r="J25" s="449">
        <f t="shared" si="10"/>
        <v>26.093912976157185</v>
      </c>
      <c r="K25" s="449">
        <f t="shared" si="11"/>
        <v>0</v>
      </c>
      <c r="L25" s="449">
        <f t="shared" si="12"/>
        <v>0</v>
      </c>
      <c r="M25" s="449">
        <f t="shared" si="13"/>
        <v>0</v>
      </c>
      <c r="N25" s="449">
        <f t="shared" si="14"/>
        <v>0</v>
      </c>
      <c r="O25" s="449">
        <f t="shared" si="15"/>
        <v>0</v>
      </c>
      <c r="P25" s="450">
        <f t="shared" si="16"/>
        <v>0</v>
      </c>
      <c r="Q25" s="448">
        <f t="shared" ca="1" si="17"/>
        <v>3747.5186053598541</v>
      </c>
    </row>
    <row r="26" spans="1:17">
      <c r="A26" s="448" t="s">
        <v>671</v>
      </c>
      <c r="B26" s="449">
        <f t="shared" ca="1" si="2"/>
        <v>2059.1915193775358</v>
      </c>
      <c r="C26" s="449">
        <f t="shared" ca="1" si="3"/>
        <v>0</v>
      </c>
      <c r="D26" s="449">
        <f t="shared" si="4"/>
        <v>1170.8598405928676</v>
      </c>
      <c r="E26" s="449">
        <f t="shared" si="5"/>
        <v>23.858688479474221</v>
      </c>
      <c r="F26" s="449">
        <f t="shared" si="6"/>
        <v>662.7476218740577</v>
      </c>
      <c r="G26" s="449">
        <f t="shared" si="7"/>
        <v>0</v>
      </c>
      <c r="H26" s="449">
        <f t="shared" si="8"/>
        <v>0</v>
      </c>
      <c r="I26" s="449">
        <f t="shared" si="9"/>
        <v>0</v>
      </c>
      <c r="J26" s="449">
        <f t="shared" si="10"/>
        <v>14.371538817328695</v>
      </c>
      <c r="K26" s="449">
        <f t="shared" si="11"/>
        <v>0</v>
      </c>
      <c r="L26" s="449">
        <f t="shared" si="12"/>
        <v>0</v>
      </c>
      <c r="M26" s="449">
        <f t="shared" si="13"/>
        <v>0</v>
      </c>
      <c r="N26" s="449">
        <f t="shared" si="14"/>
        <v>0</v>
      </c>
      <c r="O26" s="449">
        <f t="shared" si="15"/>
        <v>0</v>
      </c>
      <c r="P26" s="450">
        <f t="shared" si="16"/>
        <v>0</v>
      </c>
      <c r="Q26" s="448">
        <f t="shared" ca="1" si="17"/>
        <v>3931.0292091412639</v>
      </c>
    </row>
    <row r="27" spans="1:17" s="454" customFormat="1">
      <c r="A27" s="452" t="s">
        <v>568</v>
      </c>
      <c r="B27" s="760">
        <f t="shared" ca="1" si="2"/>
        <v>1.0148540291126991</v>
      </c>
      <c r="C27" s="453">
        <f t="shared" ca="1" si="3"/>
        <v>0</v>
      </c>
      <c r="D27" s="453">
        <f t="shared" si="4"/>
        <v>1.3404682470717659</v>
      </c>
      <c r="E27" s="453">
        <f t="shared" si="5"/>
        <v>97.254149017937493</v>
      </c>
      <c r="F27" s="453">
        <f t="shared" si="6"/>
        <v>0</v>
      </c>
      <c r="G27" s="453">
        <f t="shared" si="7"/>
        <v>22548.604876192545</v>
      </c>
      <c r="H27" s="453">
        <f t="shared" si="8"/>
        <v>3965.7248790957833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26613.93922658245</v>
      </c>
    </row>
    <row r="28" spans="1:17">
      <c r="A28" s="448" t="s">
        <v>558</v>
      </c>
      <c r="B28" s="449">
        <f t="shared" ca="1" si="2"/>
        <v>5.1693552434402275</v>
      </c>
      <c r="C28" s="449">
        <f t="shared" ca="1" si="3"/>
        <v>0</v>
      </c>
      <c r="D28" s="449">
        <f t="shared" si="4"/>
        <v>0</v>
      </c>
      <c r="E28" s="449">
        <f t="shared" si="5"/>
        <v>0</v>
      </c>
      <c r="F28" s="449">
        <f t="shared" si="6"/>
        <v>0</v>
      </c>
      <c r="G28" s="449">
        <f t="shared" si="7"/>
        <v>1321.6269569597448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1326.7963122031849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354.91423461419555</v>
      </c>
      <c r="C32" s="449">
        <f t="shared" ca="1" si="3"/>
        <v>0</v>
      </c>
      <c r="D32" s="449">
        <f t="shared" si="4"/>
        <v>511.6463054306721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866.56054004486759</v>
      </c>
    </row>
    <row r="33" spans="1:17" s="461" customFormat="1">
      <c r="A33" s="458" t="s">
        <v>562</v>
      </c>
      <c r="B33" s="459">
        <f ca="1">SUM(B22:B32)</f>
        <v>14933.771067463815</v>
      </c>
      <c r="C33" s="459">
        <f t="shared" ref="C33:Q33" ca="1" si="18">SUM(C22:C32)</f>
        <v>3076.8504201680662</v>
      </c>
      <c r="D33" s="459">
        <f t="shared" ca="1" si="18"/>
        <v>23694.371330679187</v>
      </c>
      <c r="E33" s="459">
        <f t="shared" si="18"/>
        <v>537.40821879779014</v>
      </c>
      <c r="F33" s="459">
        <f t="shared" ca="1" si="18"/>
        <v>15782.536237538141</v>
      </c>
      <c r="G33" s="459">
        <f t="shared" si="18"/>
        <v>23870.231833152291</v>
      </c>
      <c r="H33" s="459">
        <f t="shared" si="18"/>
        <v>3965.7248790957833</v>
      </c>
      <c r="I33" s="459">
        <f t="shared" si="18"/>
        <v>0</v>
      </c>
      <c r="J33" s="459">
        <f t="shared" si="18"/>
        <v>366.55709795227108</v>
      </c>
      <c r="K33" s="459">
        <f t="shared" si="18"/>
        <v>0</v>
      </c>
      <c r="L33" s="459">
        <f t="shared" ca="1" si="18"/>
        <v>0</v>
      </c>
      <c r="M33" s="459">
        <f t="shared" si="18"/>
        <v>0</v>
      </c>
      <c r="N33" s="459">
        <f t="shared" ca="1" si="18"/>
        <v>0</v>
      </c>
      <c r="O33" s="459">
        <f t="shared" si="18"/>
        <v>0</v>
      </c>
      <c r="P33" s="459">
        <f t="shared" si="18"/>
        <v>0</v>
      </c>
      <c r="Q33" s="459">
        <f t="shared" ca="1" si="18"/>
        <v>86227.451084847329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3607.6389341223871</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9062.9999999999982</v>
      </c>
      <c r="D8" s="1015">
        <f>'SEAP template'!D76</f>
        <v>10662.352941176468</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2153.7952941176468</v>
      </c>
    </row>
    <row r="9" spans="1:16">
      <c r="A9" s="1018" t="s">
        <v>891</v>
      </c>
      <c r="B9" s="1015">
        <f>'SEAP template'!B77</f>
        <v>1197</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3420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4804.6389341223876</v>
      </c>
      <c r="C10" s="1019">
        <f>SUM(C4:C9)</f>
        <v>9062.9999999999982</v>
      </c>
      <c r="D10" s="1019">
        <f t="shared" ref="D10:H10" si="0">SUM(D8:D9)</f>
        <v>10662.352941176468</v>
      </c>
      <c r="E10" s="1019">
        <f t="shared" si="0"/>
        <v>0</v>
      </c>
      <c r="F10" s="1019">
        <f t="shared" si="0"/>
        <v>0</v>
      </c>
      <c r="G10" s="1019">
        <f t="shared" si="0"/>
        <v>0</v>
      </c>
      <c r="H10" s="1019">
        <f t="shared" si="0"/>
        <v>0</v>
      </c>
      <c r="I10" s="1019">
        <f>SUM(I8:I9)</f>
        <v>0</v>
      </c>
      <c r="J10" s="1019">
        <f>SUM(J8:J9)</f>
        <v>3420</v>
      </c>
      <c r="K10" s="1019">
        <f t="shared" ref="K10:L10" si="1">SUM(K8:K9)</f>
        <v>0</v>
      </c>
      <c r="L10" s="1019">
        <f t="shared" si="1"/>
        <v>0</v>
      </c>
      <c r="M10" s="1019">
        <f>SUM(M8:M9)</f>
        <v>0</v>
      </c>
      <c r="N10" s="1019">
        <f>SUM(N8:N9)</f>
        <v>0</v>
      </c>
      <c r="O10" s="1019">
        <f>SUM(O8:O9)</f>
        <v>0</v>
      </c>
      <c r="P10" s="1019">
        <f>SUM(P8:P9)</f>
        <v>2153.7952941176468</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0.20829415586767533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12947.142857142855</v>
      </c>
      <c r="D17" s="1016">
        <f>'SEAP template'!D87</f>
        <v>15231.932773109238</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3076.8504201680662</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12947.142857142855</v>
      </c>
      <c r="D20" s="1019">
        <f t="shared" ref="D20:H20" si="2">SUM(D17:D19)</f>
        <v>15231.932773109238</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3076.8504201680662</v>
      </c>
    </row>
    <row r="22" spans="1:16">
      <c r="A22" s="462" t="s">
        <v>899</v>
      </c>
      <c r="B22" s="766" t="s">
        <v>893</v>
      </c>
      <c r="C22" s="766">
        <f ca="1">'EF ele_warmte'!B22</f>
        <v>0.23764705882352938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0.20829415586767533</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0.20829415586767533</v>
      </c>
      <c r="C17" s="498">
        <f ca="1">'EF ele_warmte'!B22</f>
        <v>0.23764705882352938</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0.20829415586767533</v>
      </c>
      <c r="C29" s="499">
        <f ca="1">'EF ele_warmte'!B22</f>
        <v>0.23764705882352938</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8128</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1445</v>
      </c>
      <c r="C14" s="327"/>
      <c r="D14" s="327"/>
      <c r="E14" s="327"/>
      <c r="F14" s="327"/>
    </row>
    <row r="15" spans="1:6">
      <c r="A15" s="1295" t="s">
        <v>183</v>
      </c>
      <c r="B15" s="1296">
        <v>3</v>
      </c>
      <c r="C15" s="327"/>
      <c r="D15" s="327"/>
      <c r="E15" s="327"/>
      <c r="F15" s="327"/>
    </row>
    <row r="16" spans="1:6">
      <c r="A16" s="1295" t="s">
        <v>6</v>
      </c>
      <c r="B16" s="1296">
        <v>74</v>
      </c>
      <c r="C16" s="327"/>
      <c r="D16" s="327"/>
      <c r="E16" s="327"/>
      <c r="F16" s="327"/>
    </row>
    <row r="17" spans="1:6">
      <c r="A17" s="1295" t="s">
        <v>7</v>
      </c>
      <c r="B17" s="1296">
        <v>397</v>
      </c>
      <c r="C17" s="327"/>
      <c r="D17" s="327"/>
      <c r="E17" s="327"/>
      <c r="F17" s="327"/>
    </row>
    <row r="18" spans="1:6">
      <c r="A18" s="1295" t="s">
        <v>8</v>
      </c>
      <c r="B18" s="1296">
        <v>418</v>
      </c>
      <c r="C18" s="327"/>
      <c r="D18" s="327"/>
      <c r="E18" s="327"/>
      <c r="F18" s="327"/>
    </row>
    <row r="19" spans="1:6">
      <c r="A19" s="1295" t="s">
        <v>9</v>
      </c>
      <c r="B19" s="1296">
        <v>294</v>
      </c>
      <c r="C19" s="327"/>
      <c r="D19" s="327"/>
      <c r="E19" s="327"/>
      <c r="F19" s="327"/>
    </row>
    <row r="20" spans="1:6">
      <c r="A20" s="1295" t="s">
        <v>10</v>
      </c>
      <c r="B20" s="1296">
        <v>156</v>
      </c>
      <c r="C20" s="327"/>
      <c r="D20" s="327"/>
      <c r="E20" s="327"/>
      <c r="F20" s="327"/>
    </row>
    <row r="21" spans="1:6">
      <c r="A21" s="1295" t="s">
        <v>11</v>
      </c>
      <c r="B21" s="1296">
        <v>0</v>
      </c>
      <c r="C21" s="327"/>
      <c r="D21" s="327"/>
      <c r="E21" s="327"/>
      <c r="F21" s="327"/>
    </row>
    <row r="22" spans="1:6">
      <c r="A22" s="1295" t="s">
        <v>12</v>
      </c>
      <c r="B22" s="1296">
        <v>0</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2</v>
      </c>
      <c r="C25" s="327"/>
      <c r="D25" s="327"/>
      <c r="E25" s="327"/>
      <c r="F25" s="327"/>
    </row>
    <row r="26" spans="1:6">
      <c r="A26" s="1295" t="s">
        <v>16</v>
      </c>
      <c r="B26" s="1296">
        <v>185</v>
      </c>
      <c r="C26" s="327"/>
      <c r="D26" s="327"/>
      <c r="E26" s="327"/>
      <c r="F26" s="327"/>
    </row>
    <row r="27" spans="1:6">
      <c r="A27" s="1295" t="s">
        <v>17</v>
      </c>
      <c r="B27" s="1296">
        <v>3</v>
      </c>
      <c r="C27" s="327"/>
      <c r="D27" s="327"/>
      <c r="E27" s="327"/>
      <c r="F27" s="327"/>
    </row>
    <row r="28" spans="1:6" s="44" customFormat="1">
      <c r="A28" s="1297" t="s">
        <v>18</v>
      </c>
      <c r="B28" s="1298">
        <v>0</v>
      </c>
      <c r="C28" s="333"/>
      <c r="D28" s="333"/>
      <c r="E28" s="333"/>
      <c r="F28" s="333"/>
    </row>
    <row r="29" spans="1:6">
      <c r="A29" s="1297" t="s">
        <v>961</v>
      </c>
      <c r="B29" s="1298">
        <v>96</v>
      </c>
      <c r="C29" s="333"/>
      <c r="D29" s="333"/>
      <c r="E29" s="333"/>
      <c r="F29" s="333"/>
    </row>
    <row r="30" spans="1:6">
      <c r="A30" s="1290" t="s">
        <v>962</v>
      </c>
      <c r="B30" s="1299">
        <v>28</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4</v>
      </c>
      <c r="F35" s="1296">
        <v>529899.24619069498</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4071</v>
      </c>
    </row>
    <row r="39" spans="1:6">
      <c r="A39" s="1295" t="s">
        <v>29</v>
      </c>
      <c r="B39" s="1295" t="s">
        <v>30</v>
      </c>
      <c r="C39" s="1296">
        <v>5172</v>
      </c>
      <c r="D39" s="1296">
        <v>96734878.819753304</v>
      </c>
      <c r="E39" s="1296">
        <v>8006</v>
      </c>
      <c r="F39" s="1296">
        <v>34217672.352092803</v>
      </c>
    </row>
    <row r="40" spans="1:6">
      <c r="A40" s="1295" t="s">
        <v>29</v>
      </c>
      <c r="B40" s="1295" t="s">
        <v>28</v>
      </c>
      <c r="C40" s="1296">
        <v>0</v>
      </c>
      <c r="D40" s="1296">
        <v>0</v>
      </c>
      <c r="E40" s="1296">
        <v>0</v>
      </c>
      <c r="F40" s="1296">
        <v>0</v>
      </c>
    </row>
    <row r="41" spans="1:6">
      <c r="A41" s="1295" t="s">
        <v>31</v>
      </c>
      <c r="B41" s="1295" t="s">
        <v>32</v>
      </c>
      <c r="C41" s="1296">
        <v>21</v>
      </c>
      <c r="D41" s="1296">
        <v>761090.47630092502</v>
      </c>
      <c r="E41" s="1296">
        <v>83</v>
      </c>
      <c r="F41" s="1296">
        <v>973216.60552925197</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4</v>
      </c>
      <c r="F44" s="1296">
        <v>57454.996850899603</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4</v>
      </c>
      <c r="D47" s="1296">
        <v>172120.673067141</v>
      </c>
      <c r="E47" s="1296">
        <v>11</v>
      </c>
      <c r="F47" s="1296">
        <v>765530.10217378498</v>
      </c>
    </row>
    <row r="48" spans="1:6">
      <c r="A48" s="1295" t="s">
        <v>31</v>
      </c>
      <c r="B48" s="1295" t="s">
        <v>28</v>
      </c>
      <c r="C48" s="1296">
        <v>17</v>
      </c>
      <c r="D48" s="1296">
        <v>5242154.11009923</v>
      </c>
      <c r="E48" s="1296">
        <v>32</v>
      </c>
      <c r="F48" s="1296">
        <v>7867222.5842885701</v>
      </c>
    </row>
    <row r="49" spans="1:6">
      <c r="A49" s="1295" t="s">
        <v>31</v>
      </c>
      <c r="B49" s="1295" t="s">
        <v>39</v>
      </c>
      <c r="C49" s="1296">
        <v>0</v>
      </c>
      <c r="D49" s="1296">
        <v>0</v>
      </c>
      <c r="E49" s="1296">
        <v>0</v>
      </c>
      <c r="F49" s="1296">
        <v>0</v>
      </c>
    </row>
    <row r="50" spans="1:6">
      <c r="A50" s="1295" t="s">
        <v>31</v>
      </c>
      <c r="B50" s="1295" t="s">
        <v>40</v>
      </c>
      <c r="C50" s="1296">
        <v>4</v>
      </c>
      <c r="D50" s="1296">
        <v>250727.69454506101</v>
      </c>
      <c r="E50" s="1296">
        <v>5</v>
      </c>
      <c r="F50" s="1296">
        <v>222554.080544364</v>
      </c>
    </row>
    <row r="51" spans="1:6">
      <c r="A51" s="1295" t="s">
        <v>41</v>
      </c>
      <c r="B51" s="1295" t="s">
        <v>42</v>
      </c>
      <c r="C51" s="1296">
        <v>0</v>
      </c>
      <c r="D51" s="1296">
        <v>0</v>
      </c>
      <c r="E51" s="1296">
        <v>32</v>
      </c>
      <c r="F51" s="1296">
        <v>353133.17010015098</v>
      </c>
    </row>
    <row r="52" spans="1:6">
      <c r="A52" s="1295" t="s">
        <v>41</v>
      </c>
      <c r="B52" s="1295" t="s">
        <v>28</v>
      </c>
      <c r="C52" s="1296">
        <v>3</v>
      </c>
      <c r="D52" s="1296">
        <v>26574874.421486899</v>
      </c>
      <c r="E52" s="1296">
        <v>7</v>
      </c>
      <c r="F52" s="1296">
        <v>242733.606627981</v>
      </c>
    </row>
    <row r="53" spans="1:6">
      <c r="A53" s="1295" t="s">
        <v>43</v>
      </c>
      <c r="B53" s="1295" t="s">
        <v>44</v>
      </c>
      <c r="C53" s="1296">
        <v>122</v>
      </c>
      <c r="D53" s="1296">
        <v>2532902.50213204</v>
      </c>
      <c r="E53" s="1296">
        <v>232</v>
      </c>
      <c r="F53" s="1296">
        <v>1703908.7493153899</v>
      </c>
    </row>
    <row r="54" spans="1:6">
      <c r="A54" s="1295" t="s">
        <v>45</v>
      </c>
      <c r="B54" s="1295" t="s">
        <v>46</v>
      </c>
      <c r="C54" s="1296">
        <v>0</v>
      </c>
      <c r="D54" s="1296">
        <v>0</v>
      </c>
      <c r="E54" s="1296">
        <v>1</v>
      </c>
      <c r="F54" s="1296">
        <v>1532726</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53</v>
      </c>
      <c r="D57" s="1296">
        <v>3353801.1735331402</v>
      </c>
      <c r="E57" s="1296">
        <v>117</v>
      </c>
      <c r="F57" s="1296">
        <v>2180826.8291779598</v>
      </c>
    </row>
    <row r="58" spans="1:6">
      <c r="A58" s="1295" t="s">
        <v>48</v>
      </c>
      <c r="B58" s="1295" t="s">
        <v>50</v>
      </c>
      <c r="C58" s="1296">
        <v>28</v>
      </c>
      <c r="D58" s="1296">
        <v>1758161.03353209</v>
      </c>
      <c r="E58" s="1296">
        <v>46</v>
      </c>
      <c r="F58" s="1296">
        <v>732061.72966415901</v>
      </c>
    </row>
    <row r="59" spans="1:6">
      <c r="A59" s="1295" t="s">
        <v>48</v>
      </c>
      <c r="B59" s="1295" t="s">
        <v>51</v>
      </c>
      <c r="C59" s="1296">
        <v>70</v>
      </c>
      <c r="D59" s="1296">
        <v>4099583.5285710399</v>
      </c>
      <c r="E59" s="1296">
        <v>169</v>
      </c>
      <c r="F59" s="1296">
        <v>6735494.1402638704</v>
      </c>
    </row>
    <row r="60" spans="1:6">
      <c r="A60" s="1295" t="s">
        <v>48</v>
      </c>
      <c r="B60" s="1295" t="s">
        <v>52</v>
      </c>
      <c r="C60" s="1296">
        <v>23</v>
      </c>
      <c r="D60" s="1296">
        <v>1365271.8539352301</v>
      </c>
      <c r="E60" s="1296">
        <v>46</v>
      </c>
      <c r="F60" s="1296">
        <v>1343188.6215309401</v>
      </c>
    </row>
    <row r="61" spans="1:6">
      <c r="A61" s="1295" t="s">
        <v>48</v>
      </c>
      <c r="B61" s="1295" t="s">
        <v>53</v>
      </c>
      <c r="C61" s="1296">
        <v>155</v>
      </c>
      <c r="D61" s="1296">
        <v>5571842.2825347399</v>
      </c>
      <c r="E61" s="1296">
        <v>338</v>
      </c>
      <c r="F61" s="1296">
        <v>4673954.5273640696</v>
      </c>
    </row>
    <row r="62" spans="1:6">
      <c r="A62" s="1295" t="s">
        <v>48</v>
      </c>
      <c r="B62" s="1295" t="s">
        <v>54</v>
      </c>
      <c r="C62" s="1296">
        <v>9</v>
      </c>
      <c r="D62" s="1296">
        <v>607269.62604027102</v>
      </c>
      <c r="E62" s="1296">
        <v>19</v>
      </c>
      <c r="F62" s="1296">
        <v>220819.92399095601</v>
      </c>
    </row>
    <row r="63" spans="1:6">
      <c r="A63" s="1295" t="s">
        <v>48</v>
      </c>
      <c r="B63" s="1295" t="s">
        <v>28</v>
      </c>
      <c r="C63" s="1296">
        <v>87</v>
      </c>
      <c r="D63" s="1296">
        <v>7310736.7437265702</v>
      </c>
      <c r="E63" s="1296">
        <v>96</v>
      </c>
      <c r="F63" s="1296">
        <v>3555354.2921739998</v>
      </c>
    </row>
    <row r="64" spans="1:6">
      <c r="A64" s="1295" t="s">
        <v>55</v>
      </c>
      <c r="B64" s="1295" t="s">
        <v>56</v>
      </c>
      <c r="C64" s="1296">
        <v>0</v>
      </c>
      <c r="D64" s="1296">
        <v>0</v>
      </c>
      <c r="E64" s="1296">
        <v>0</v>
      </c>
      <c r="F64" s="1296">
        <v>0</v>
      </c>
    </row>
    <row r="65" spans="1:6">
      <c r="A65" s="1295" t="s">
        <v>55</v>
      </c>
      <c r="B65" s="1295" t="s">
        <v>28</v>
      </c>
      <c r="C65" s="1296">
        <v>2</v>
      </c>
      <c r="D65" s="1296">
        <v>30605.949783996901</v>
      </c>
      <c r="E65" s="1296">
        <v>3</v>
      </c>
      <c r="F65" s="1296">
        <v>15357.812607190401</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6</v>
      </c>
      <c r="F68" s="1299">
        <v>147087.044378725</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71073040</v>
      </c>
      <c r="E73" s="447"/>
      <c r="F73" s="327"/>
    </row>
    <row r="74" spans="1:6">
      <c r="A74" s="1295" t="s">
        <v>63</v>
      </c>
      <c r="B74" s="1295" t="s">
        <v>755</v>
      </c>
      <c r="C74" s="1309" t="s">
        <v>749</v>
      </c>
      <c r="D74" s="1310">
        <v>4986640.6560759284</v>
      </c>
      <c r="E74" s="447"/>
      <c r="F74" s="327"/>
    </row>
    <row r="75" spans="1:6">
      <c r="A75" s="1295" t="s">
        <v>64</v>
      </c>
      <c r="B75" s="1295" t="s">
        <v>754</v>
      </c>
      <c r="C75" s="1309" t="s">
        <v>750</v>
      </c>
      <c r="D75" s="1310">
        <v>37263999</v>
      </c>
      <c r="E75" s="447"/>
      <c r="F75" s="327"/>
    </row>
    <row r="76" spans="1:6">
      <c r="A76" s="1295" t="s">
        <v>64</v>
      </c>
      <c r="B76" s="1295" t="s">
        <v>755</v>
      </c>
      <c r="C76" s="1309" t="s">
        <v>751</v>
      </c>
      <c r="D76" s="1310">
        <v>963821.65607592859</v>
      </c>
      <c r="E76" s="447"/>
      <c r="F76" s="327"/>
    </row>
    <row r="77" spans="1:6">
      <c r="A77" s="1295" t="s">
        <v>65</v>
      </c>
      <c r="B77" s="1295" t="s">
        <v>754</v>
      </c>
      <c r="C77" s="1309" t="s">
        <v>752</v>
      </c>
      <c r="D77" s="1310">
        <v>11626630</v>
      </c>
      <c r="E77" s="447"/>
      <c r="F77" s="327"/>
    </row>
    <row r="78" spans="1:6">
      <c r="A78" s="1290" t="s">
        <v>65</v>
      </c>
      <c r="B78" s="1290" t="s">
        <v>755</v>
      </c>
      <c r="C78" s="1290" t="s">
        <v>753</v>
      </c>
      <c r="D78" s="1311">
        <v>1158514</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1367274.6878481428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3091.0415104804442</v>
      </c>
      <c r="C91" s="327"/>
      <c r="D91" s="327"/>
      <c r="E91" s="327"/>
      <c r="F91" s="327"/>
    </row>
    <row r="92" spans="1:6">
      <c r="A92" s="1290" t="s">
        <v>68</v>
      </c>
      <c r="B92" s="1291">
        <v>516.5974236419429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3149</v>
      </c>
      <c r="C97" s="327"/>
      <c r="D97" s="327"/>
      <c r="E97" s="327"/>
      <c r="F97" s="327"/>
    </row>
    <row r="98" spans="1:6">
      <c r="A98" s="1295" t="s">
        <v>71</v>
      </c>
      <c r="B98" s="1296">
        <v>2</v>
      </c>
      <c r="C98" s="327"/>
      <c r="D98" s="327"/>
      <c r="E98" s="327"/>
      <c r="F98" s="327"/>
    </row>
    <row r="99" spans="1:6">
      <c r="A99" s="1295" t="s">
        <v>72</v>
      </c>
      <c r="B99" s="1296">
        <v>74</v>
      </c>
      <c r="C99" s="327"/>
      <c r="D99" s="327"/>
      <c r="E99" s="327"/>
      <c r="F99" s="327"/>
    </row>
    <row r="100" spans="1:6">
      <c r="A100" s="1295" t="s">
        <v>73</v>
      </c>
      <c r="B100" s="1296">
        <v>495</v>
      </c>
      <c r="C100" s="327"/>
      <c r="D100" s="327"/>
      <c r="E100" s="327"/>
      <c r="F100" s="327"/>
    </row>
    <row r="101" spans="1:6">
      <c r="A101" s="1295" t="s">
        <v>74</v>
      </c>
      <c r="B101" s="1296">
        <v>56</v>
      </c>
      <c r="C101" s="327"/>
      <c r="D101" s="327"/>
      <c r="E101" s="327"/>
      <c r="F101" s="327"/>
    </row>
    <row r="102" spans="1:6">
      <c r="A102" s="1295" t="s">
        <v>75</v>
      </c>
      <c r="B102" s="1296">
        <v>86</v>
      </c>
      <c r="C102" s="327"/>
      <c r="D102" s="327"/>
      <c r="E102" s="327"/>
      <c r="F102" s="327"/>
    </row>
    <row r="103" spans="1:6">
      <c r="A103" s="1295" t="s">
        <v>76</v>
      </c>
      <c r="B103" s="1296">
        <v>107</v>
      </c>
      <c r="C103" s="327"/>
      <c r="D103" s="327"/>
      <c r="E103" s="327"/>
      <c r="F103" s="327"/>
    </row>
    <row r="104" spans="1:6">
      <c r="A104" s="1295" t="s">
        <v>77</v>
      </c>
      <c r="B104" s="1296">
        <v>3071</v>
      </c>
      <c r="C104" s="327"/>
      <c r="D104" s="327"/>
      <c r="E104" s="327"/>
      <c r="F104" s="327"/>
    </row>
    <row r="105" spans="1:6">
      <c r="A105" s="1290" t="s">
        <v>78</v>
      </c>
      <c r="B105" s="1299">
        <v>8</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8</v>
      </c>
      <c r="C123" s="1296">
        <v>23</v>
      </c>
      <c r="D123" s="327"/>
      <c r="E123" s="327"/>
      <c r="F123" s="327"/>
    </row>
    <row r="124" spans="1:6" s="44" customFormat="1">
      <c r="A124" s="1297" t="s">
        <v>88</v>
      </c>
      <c r="B124" s="1318">
        <v>1</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108</v>
      </c>
      <c r="C129" s="327"/>
      <c r="D129" s="327"/>
      <c r="E129" s="327"/>
      <c r="F129" s="327"/>
    </row>
    <row r="130" spans="1:6">
      <c r="A130" s="1295" t="s">
        <v>290</v>
      </c>
      <c r="B130" s="1296">
        <v>0</v>
      </c>
      <c r="C130" s="327"/>
      <c r="D130" s="327"/>
      <c r="E130" s="327"/>
      <c r="F130" s="327"/>
    </row>
    <row r="131" spans="1:6">
      <c r="A131" s="1295" t="s">
        <v>291</v>
      </c>
      <c r="B131" s="1296">
        <v>4</v>
      </c>
      <c r="C131" s="327"/>
      <c r="D131" s="327"/>
      <c r="E131" s="327"/>
      <c r="F131" s="327"/>
    </row>
    <row r="132" spans="1:6">
      <c r="A132" s="1290" t="s">
        <v>292</v>
      </c>
      <c r="B132" s="1291">
        <v>4</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71695.583609896901</v>
      </c>
      <c r="C3" s="44" t="s">
        <v>169</v>
      </c>
      <c r="D3" s="44"/>
      <c r="E3" s="157"/>
      <c r="F3" s="44"/>
      <c r="G3" s="44"/>
      <c r="H3" s="44"/>
      <c r="I3" s="44"/>
      <c r="J3" s="44"/>
      <c r="K3" s="97"/>
    </row>
    <row r="4" spans="1:11">
      <c r="A4" s="354" t="s">
        <v>170</v>
      </c>
      <c r="B4" s="50">
        <f>IF(ISERROR('SEAP template'!B78+'SEAP template'!C78),0,'SEAP template'!B78+'SEAP template'!C78)</f>
        <v>13867.638934122386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2153.7952941176468</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0.20829415586767533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3076.8504201680662</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12947.142857142855</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0.23764705882352938</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1532.7260000000001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1532.7260000000001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0.20829415586767533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319.25786834643856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34217.672352092799</v>
      </c>
      <c r="C5" s="18">
        <f>IF(ISERROR('Eigen informatie GS &amp; warmtenet'!B57),0,'Eigen informatie GS &amp; warmtenet'!B57)</f>
        <v>0</v>
      </c>
      <c r="D5" s="31">
        <f>(SUM(HH_hh_gas_kWh,HH_rest_gas_kWh)/1000)*0.902</f>
        <v>87254.860695417476</v>
      </c>
      <c r="E5" s="18">
        <f>B32*B41</f>
        <v>1665.2203526388028</v>
      </c>
      <c r="F5" s="18">
        <f>B36*B45</f>
        <v>50767.733924598557</v>
      </c>
      <c r="G5" s="19"/>
      <c r="H5" s="18"/>
      <c r="I5" s="18"/>
      <c r="J5" s="18">
        <f>B35*B44+C35*C44</f>
        <v>921.16284225645541</v>
      </c>
      <c r="K5" s="18"/>
      <c r="L5" s="18"/>
      <c r="M5" s="18"/>
      <c r="N5" s="18">
        <f>B34*B43+C34*C43</f>
        <v>11624.986651874024</v>
      </c>
      <c r="O5" s="18">
        <f>B52*B53*B54</f>
        <v>204.79666666666668</v>
      </c>
      <c r="P5" s="18">
        <f>B60*B61*B62/1000-B60*B61*B62/1000/B63</f>
        <v>247.86666666666667</v>
      </c>
    </row>
    <row r="6" spans="1:16">
      <c r="A6" s="17" t="s">
        <v>628</v>
      </c>
      <c r="B6" s="768">
        <f>kWh_PV_kleiner_dan_10kW</f>
        <v>3091.0415104804442</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37308.71386257324</v>
      </c>
      <c r="C8" s="22">
        <f>C5</f>
        <v>0</v>
      </c>
      <c r="D8" s="22">
        <f>D5</f>
        <v>87254.860695417476</v>
      </c>
      <c r="E8" s="22">
        <f>E5</f>
        <v>1665.2203526388028</v>
      </c>
      <c r="F8" s="22">
        <f>F5</f>
        <v>50767.733924598557</v>
      </c>
      <c r="G8" s="22"/>
      <c r="H8" s="22"/>
      <c r="I8" s="22"/>
      <c r="J8" s="22">
        <f>J5</f>
        <v>921.16284225645541</v>
      </c>
      <c r="K8" s="22"/>
      <c r="L8" s="22">
        <f>L5</f>
        <v>0</v>
      </c>
      <c r="M8" s="22">
        <f>M5</f>
        <v>0</v>
      </c>
      <c r="N8" s="22">
        <f>N5</f>
        <v>11624.986651874024</v>
      </c>
      <c r="O8" s="22">
        <f>O5</f>
        <v>204.79666666666668</v>
      </c>
      <c r="P8" s="22">
        <f>P5</f>
        <v>247.86666666666667</v>
      </c>
    </row>
    <row r="9" spans="1:16">
      <c r="B9" s="20"/>
      <c r="C9" s="20"/>
      <c r="D9" s="258"/>
      <c r="E9" s="20"/>
      <c r="F9" s="20"/>
      <c r="G9" s="20"/>
      <c r="H9" s="20"/>
      <c r="I9" s="20"/>
      <c r="J9" s="20"/>
      <c r="K9" s="20"/>
      <c r="L9" s="20"/>
      <c r="M9" s="20"/>
      <c r="N9" s="20"/>
      <c r="O9" s="20"/>
      <c r="P9" s="20"/>
    </row>
    <row r="10" spans="1:16">
      <c r="A10" s="25" t="s">
        <v>213</v>
      </c>
      <c r="B10" s="26">
        <f ca="1">'EF ele_warmte'!B12</f>
        <v>0.20829415586767533</v>
      </c>
      <c r="C10" s="26">
        <f ca="1">'EF ele_warmte'!B22</f>
        <v>0.23764705882352938</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7771.1870605133299</v>
      </c>
      <c r="C12" s="24">
        <f ca="1">C10*C8</f>
        <v>0</v>
      </c>
      <c r="D12" s="24">
        <f>D8*D10</f>
        <v>17625.48186047433</v>
      </c>
      <c r="E12" s="24">
        <f>E10*E8</f>
        <v>378.00502004900824</v>
      </c>
      <c r="F12" s="24">
        <f>F10*F8</f>
        <v>13554.984957867815</v>
      </c>
      <c r="G12" s="24"/>
      <c r="H12" s="24"/>
      <c r="I12" s="24"/>
      <c r="J12" s="24">
        <f>J10*J8</f>
        <v>326.09164615878518</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8128</v>
      </c>
      <c r="C26" s="37"/>
      <c r="D26" s="228"/>
    </row>
    <row r="27" spans="1:5" s="16" customFormat="1">
      <c r="A27" s="230" t="s">
        <v>654</v>
      </c>
      <c r="B27" s="38">
        <f>SUM(HH_hh_gas_aantal,HH_rest_gas_aantal)</f>
        <v>5172</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4913.3999999999996</v>
      </c>
      <c r="C31" s="35" t="s">
        <v>110</v>
      </c>
      <c r="D31" s="174"/>
    </row>
    <row r="32" spans="1:5">
      <c r="A32" s="171" t="s">
        <v>72</v>
      </c>
      <c r="B32" s="34">
        <f>IF((B21*($B$26-($B$27-0.05*$B$27)-$B$60))&lt;0,0,B21*($B$26-($B$27-0.05*$B$27)-$B$60))</f>
        <v>78.680378347689398</v>
      </c>
      <c r="C32" s="35" t="s">
        <v>110</v>
      </c>
      <c r="D32" s="174"/>
    </row>
    <row r="33" spans="1:6">
      <c r="A33" s="171" t="s">
        <v>73</v>
      </c>
      <c r="B33" s="34">
        <f>IF((B22*($B$26-($B$27-0.05*$B$27)-$B$60))&lt;0,0,B22*($B$26-($B$27-0.05*$B$27)-$B$60))</f>
        <v>529.61122573603654</v>
      </c>
      <c r="C33" s="35" t="s">
        <v>110</v>
      </c>
      <c r="D33" s="174"/>
    </row>
    <row r="34" spans="1:6">
      <c r="A34" s="171" t="s">
        <v>74</v>
      </c>
      <c r="B34" s="34">
        <f>IF((B24*($B$26-($B$27-0.05*$B$27)-$B$60))&lt;0,0,B24*($B$26-($B$27-0.05*$B$27)-$B$60))</f>
        <v>134.32057003979611</v>
      </c>
      <c r="C34" s="34">
        <f>B26*C24</f>
        <v>1662.1949192942193</v>
      </c>
      <c r="D34" s="233"/>
    </row>
    <row r="35" spans="1:6">
      <c r="A35" s="171" t="s">
        <v>76</v>
      </c>
      <c r="B35" s="34">
        <f>IF((B19*($B$26-($B$27-0.05*$B$27)-$B$60))&lt;0,0,B19*($B$26-($B$27-0.05*$B$27)-$B$60))</f>
        <v>49.936137245565433</v>
      </c>
      <c r="C35" s="34">
        <f>B35/2</f>
        <v>24.968068622782717</v>
      </c>
      <c r="D35" s="233"/>
    </row>
    <row r="36" spans="1:6">
      <c r="A36" s="171" t="s">
        <v>77</v>
      </c>
      <c r="B36" s="34">
        <f>IF((B18*($B$26-($B$27-0.05*$B$27)-$B$60))&lt;0,0,B18*($B$26-($B$27-0.05*$B$27)-$B$60))</f>
        <v>2409.0516886309119</v>
      </c>
      <c r="C36" s="35" t="s">
        <v>110</v>
      </c>
      <c r="D36" s="174"/>
    </row>
    <row r="37" spans="1:6">
      <c r="A37" s="171" t="s">
        <v>78</v>
      </c>
      <c r="B37" s="34">
        <f>B60</f>
        <v>13</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131</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13</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19441.700064165954</v>
      </c>
      <c r="C5" s="18">
        <f>IF(ISERROR('Eigen informatie GS &amp; warmtenet'!B58),0,'Eigen informatie GS &amp; warmtenet'!B58)</f>
        <v>0</v>
      </c>
      <c r="D5" s="31">
        <f>SUM(D6:D12)</f>
        <v>21708.132950169522</v>
      </c>
      <c r="E5" s="18">
        <f>SUM(E6:E12)</f>
        <v>163.06654123202841</v>
      </c>
      <c r="F5" s="18">
        <f>SUM(F6:F12)</f>
        <v>3916.1768136348937</v>
      </c>
      <c r="G5" s="19"/>
      <c r="H5" s="18"/>
      <c r="I5" s="18"/>
      <c r="J5" s="18">
        <f>SUM(J6:J12)</f>
        <v>0</v>
      </c>
      <c r="K5" s="18"/>
      <c r="L5" s="18"/>
      <c r="M5" s="18"/>
      <c r="N5" s="18">
        <f>SUM(N6:N12)</f>
        <v>1533.5015177457558</v>
      </c>
      <c r="O5" s="18">
        <f>B38*B39*B40</f>
        <v>0</v>
      </c>
      <c r="P5" s="18">
        <f>B46*B47*B48/1000-B46*B47*B48/1000/B49</f>
        <v>76.266666666666666</v>
      </c>
      <c r="R5" s="33"/>
    </row>
    <row r="6" spans="1:18">
      <c r="A6" s="33" t="s">
        <v>53</v>
      </c>
      <c r="B6" s="38">
        <f>B26</f>
        <v>4673.9545273640697</v>
      </c>
      <c r="C6" s="34"/>
      <c r="D6" s="38">
        <f>IF(ISERROR(TER_kantoor_gas_kWh/1000),0,TER_kantoor_gas_kWh/1000)*0.902</f>
        <v>5025.801738846335</v>
      </c>
      <c r="E6" s="34">
        <f>$C$26*'E Balans VL '!I12/100/3.6*1000000</f>
        <v>7.6709066771063616</v>
      </c>
      <c r="F6" s="34">
        <f>$C$26*('E Balans VL '!L12+'E Balans VL '!N12)/100/3.6*1000000</f>
        <v>550.94926659818395</v>
      </c>
      <c r="G6" s="35"/>
      <c r="H6" s="34"/>
      <c r="I6" s="34"/>
      <c r="J6" s="34">
        <f>$C$26*('E Balans VL '!D12+'E Balans VL '!E12)/100/3.6*1000000</f>
        <v>0</v>
      </c>
      <c r="K6" s="34"/>
      <c r="L6" s="34"/>
      <c r="M6" s="34"/>
      <c r="N6" s="34">
        <f>$C$26*'E Balans VL '!Y12/100/3.6*1000000</f>
        <v>0.94435037926725318</v>
      </c>
      <c r="O6" s="34"/>
      <c r="P6" s="34"/>
      <c r="R6" s="33"/>
    </row>
    <row r="7" spans="1:18">
      <c r="A7" s="33" t="s">
        <v>52</v>
      </c>
      <c r="B7" s="38">
        <f t="shared" ref="B7:B12" si="0">B27</f>
        <v>1343.1886215309401</v>
      </c>
      <c r="C7" s="34"/>
      <c r="D7" s="38">
        <f>IF(ISERROR(TER_horeca_gas_kWh/1000),0,TER_horeca_gas_kWh/1000)*0.902</f>
        <v>1231.4752122495775</v>
      </c>
      <c r="E7" s="34">
        <f>$C$27*'E Balans VL '!I9/100/3.6*1000000</f>
        <v>69.7017699366004</v>
      </c>
      <c r="F7" s="34">
        <f>$C$27*('E Balans VL '!L9+'E Balans VL '!N9)/100/3.6*1000000</f>
        <v>306.51661805585474</v>
      </c>
      <c r="G7" s="35"/>
      <c r="H7" s="34"/>
      <c r="I7" s="34"/>
      <c r="J7" s="34">
        <f>$C$27*('E Balans VL '!D9+'E Balans VL '!E9)/100/3.6*1000000</f>
        <v>0</v>
      </c>
      <c r="K7" s="34"/>
      <c r="L7" s="34"/>
      <c r="M7" s="34"/>
      <c r="N7" s="34">
        <f>$C$27*'E Balans VL '!Y9/100/3.6*1000000</f>
        <v>0.14184010289062693</v>
      </c>
      <c r="O7" s="34"/>
      <c r="P7" s="34"/>
      <c r="R7" s="33"/>
    </row>
    <row r="8" spans="1:18">
      <c r="A8" s="6" t="s">
        <v>51</v>
      </c>
      <c r="B8" s="38">
        <f t="shared" si="0"/>
        <v>6735.4941402638706</v>
      </c>
      <c r="C8" s="34"/>
      <c r="D8" s="38">
        <f>IF(ISERROR(TER_handel_gas_kWh/1000),0,TER_handel_gas_kWh/1000)*0.902</f>
        <v>3697.8243427710781</v>
      </c>
      <c r="E8" s="34">
        <f>$C$28*'E Balans VL '!I13/100/3.6*1000000</f>
        <v>36.271463627542914</v>
      </c>
      <c r="F8" s="34">
        <f>$C$28*('E Balans VL '!L13+'E Balans VL '!N13)/100/3.6*1000000</f>
        <v>1373.567416057811</v>
      </c>
      <c r="G8" s="35"/>
      <c r="H8" s="34"/>
      <c r="I8" s="34"/>
      <c r="J8" s="34">
        <f>$C$28*('E Balans VL '!D13+'E Balans VL '!E13)/100/3.6*1000000</f>
        <v>0</v>
      </c>
      <c r="K8" s="34"/>
      <c r="L8" s="34"/>
      <c r="M8" s="34"/>
      <c r="N8" s="34">
        <f>$C$28*'E Balans VL '!Y13/100/3.6*1000000</f>
        <v>33.492055446984359</v>
      </c>
      <c r="O8" s="34"/>
      <c r="P8" s="34"/>
      <c r="R8" s="33"/>
    </row>
    <row r="9" spans="1:18">
      <c r="A9" s="33" t="s">
        <v>50</v>
      </c>
      <c r="B9" s="38">
        <f t="shared" si="0"/>
        <v>732.06172966415897</v>
      </c>
      <c r="C9" s="34"/>
      <c r="D9" s="38">
        <f>IF(ISERROR(TER_gezond_gas_kWh/1000),0,TER_gezond_gas_kWh/1000)*0.902</f>
        <v>1585.8612522459453</v>
      </c>
      <c r="E9" s="34">
        <f>$C$29*'E Balans VL '!I10/100/3.6*1000000</f>
        <v>0.72548149906871739</v>
      </c>
      <c r="F9" s="34">
        <f>$C$29*('E Balans VL '!L10+'E Balans VL '!N10)/100/3.6*1000000</f>
        <v>254.0043193236269</v>
      </c>
      <c r="G9" s="35"/>
      <c r="H9" s="34"/>
      <c r="I9" s="34"/>
      <c r="J9" s="34">
        <f>$C$29*('E Balans VL '!D10+'E Balans VL '!E10)/100/3.6*1000000</f>
        <v>0</v>
      </c>
      <c r="K9" s="34"/>
      <c r="L9" s="34"/>
      <c r="M9" s="34"/>
      <c r="N9" s="34">
        <f>$C$29*'E Balans VL '!Y10/100/3.6*1000000</f>
        <v>6.3081125063124626</v>
      </c>
      <c r="O9" s="34"/>
      <c r="P9" s="34"/>
      <c r="R9" s="33"/>
    </row>
    <row r="10" spans="1:18">
      <c r="A10" s="33" t="s">
        <v>49</v>
      </c>
      <c r="B10" s="38">
        <f t="shared" si="0"/>
        <v>2180.82682917796</v>
      </c>
      <c r="C10" s="34"/>
      <c r="D10" s="38">
        <f>IF(ISERROR(TER_ander_gas_kWh/1000),0,TER_ander_gas_kWh/1000)*0.902</f>
        <v>3025.1286585268927</v>
      </c>
      <c r="E10" s="34">
        <f>$C$30*'E Balans VL '!I14/100/3.6*1000000</f>
        <v>17.84134304386642</v>
      </c>
      <c r="F10" s="34">
        <f>$C$30*('E Balans VL '!L14+'E Balans VL '!N14)/100/3.6*1000000</f>
        <v>637.58497971425027</v>
      </c>
      <c r="G10" s="35"/>
      <c r="H10" s="34"/>
      <c r="I10" s="34"/>
      <c r="J10" s="34">
        <f>$C$30*('E Balans VL '!D14+'E Balans VL '!E14)/100/3.6*1000000</f>
        <v>0</v>
      </c>
      <c r="K10" s="34"/>
      <c r="L10" s="34"/>
      <c r="M10" s="34"/>
      <c r="N10" s="34">
        <f>$C$30*'E Balans VL '!Y14/100/3.6*1000000</f>
        <v>1258.0509317777273</v>
      </c>
      <c r="O10" s="34"/>
      <c r="P10" s="34"/>
      <c r="R10" s="33"/>
    </row>
    <row r="11" spans="1:18">
      <c r="A11" s="33" t="s">
        <v>54</v>
      </c>
      <c r="B11" s="38">
        <f t="shared" si="0"/>
        <v>220.819923990956</v>
      </c>
      <c r="C11" s="34"/>
      <c r="D11" s="38">
        <f>IF(ISERROR(TER_onderwijs_gas_kWh/1000),0,TER_onderwijs_gas_kWh/1000)*0.902</f>
        <v>547.75720268832447</v>
      </c>
      <c r="E11" s="34">
        <f>$C$31*'E Balans VL '!I11/100/3.6*1000000</f>
        <v>0.13610408383039188</v>
      </c>
      <c r="F11" s="34">
        <f>$C$31*('E Balans VL '!L11+'E Balans VL '!N11)/100/3.6*1000000</f>
        <v>85.372558720550742</v>
      </c>
      <c r="G11" s="35"/>
      <c r="H11" s="34"/>
      <c r="I11" s="34"/>
      <c r="J11" s="34">
        <f>$C$31*('E Balans VL '!D11+'E Balans VL '!E11)/100/3.6*1000000</f>
        <v>0</v>
      </c>
      <c r="K11" s="34"/>
      <c r="L11" s="34"/>
      <c r="M11" s="34"/>
      <c r="N11" s="34">
        <f>$C$31*'E Balans VL '!Y11/100/3.6*1000000</f>
        <v>0.71827989204323373</v>
      </c>
      <c r="O11" s="34"/>
      <c r="P11" s="34"/>
      <c r="R11" s="33"/>
    </row>
    <row r="12" spans="1:18">
      <c r="A12" s="33" t="s">
        <v>255</v>
      </c>
      <c r="B12" s="38">
        <f t="shared" si="0"/>
        <v>3555.354292174</v>
      </c>
      <c r="C12" s="34"/>
      <c r="D12" s="38">
        <f>IF(ISERROR(TER_rest_gas_kWh/1000),0,TER_rest_gas_kWh/1000)*0.902</f>
        <v>6594.2845428413666</v>
      </c>
      <c r="E12" s="34">
        <f>$C$32*'E Balans VL '!I8/100/3.6*1000000</f>
        <v>30.719472364013207</v>
      </c>
      <c r="F12" s="34">
        <f>$C$32*('E Balans VL '!L8+'E Balans VL '!N8)/100/3.6*1000000</f>
        <v>708.18165516461625</v>
      </c>
      <c r="G12" s="35"/>
      <c r="H12" s="34"/>
      <c r="I12" s="34"/>
      <c r="J12" s="34">
        <f>$C$32*('E Balans VL '!D8+'E Balans VL '!E8)/100/3.6*1000000</f>
        <v>0</v>
      </c>
      <c r="K12" s="34"/>
      <c r="L12" s="34"/>
      <c r="M12" s="34"/>
      <c r="N12" s="34">
        <f>$C$32*'E Balans VL '!Y8/100/3.6*1000000</f>
        <v>233.84594764053045</v>
      </c>
      <c r="O12" s="34"/>
      <c r="P12" s="34"/>
      <c r="R12" s="33"/>
    </row>
    <row r="13" spans="1:18">
      <c r="A13" s="17" t="s">
        <v>495</v>
      </c>
      <c r="B13" s="246">
        <f ca="1">'lokale energieproductie'!N38+'lokale energieproductie'!N31</f>
        <v>1197</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-3420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20638.700064165954</v>
      </c>
      <c r="C16" s="22">
        <f t="shared" ca="1" si="1"/>
        <v>0</v>
      </c>
      <c r="D16" s="22">
        <f t="shared" ca="1" si="1"/>
        <v>21708.132950169522</v>
      </c>
      <c r="E16" s="22">
        <f t="shared" si="1"/>
        <v>163.06654123202841</v>
      </c>
      <c r="F16" s="22">
        <f t="shared" ca="1" si="1"/>
        <v>3916.1768136348937</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76.266666666666666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0.20829415586767533</v>
      </c>
      <c r="C18" s="26">
        <f ca="1">'EF ele_warmte'!B22</f>
        <v>0.23764705882352938</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4298.920608071584</v>
      </c>
      <c r="C20" s="24">
        <f t="shared" ref="C20:P20" ca="1" si="2">C16*C18</f>
        <v>0</v>
      </c>
      <c r="D20" s="24">
        <f t="shared" ca="1" si="2"/>
        <v>4385.0428559342436</v>
      </c>
      <c r="E20" s="24">
        <f t="shared" si="2"/>
        <v>37.016104859670449</v>
      </c>
      <c r="F20" s="24">
        <f t="shared" ca="1" si="2"/>
        <v>1045.6192092405167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4673.9545273640697</v>
      </c>
      <c r="C26" s="40">
        <f>IF(ISERROR(B26*3.6/1000000/'E Balans VL '!Z12*100),0,B26*3.6/1000000/'E Balans VL '!Z12*100)</f>
        <v>9.931818186859806E-2</v>
      </c>
      <c r="D26" s="236" t="s">
        <v>691</v>
      </c>
      <c r="F26" s="6"/>
    </row>
    <row r="27" spans="1:18">
      <c r="A27" s="231" t="s">
        <v>52</v>
      </c>
      <c r="B27" s="34">
        <f>IF(ISERROR(TER_horeca_ele_kWh/1000),0,TER_horeca_ele_kWh/1000)</f>
        <v>1343.1886215309401</v>
      </c>
      <c r="C27" s="40">
        <f>IF(ISERROR(B27*3.6/1000000/'E Balans VL '!Z9*100),0,B27*3.6/1000000/'E Balans VL '!Z9*100)</f>
        <v>0.10571933134705114</v>
      </c>
      <c r="D27" s="236" t="s">
        <v>691</v>
      </c>
      <c r="F27" s="6"/>
    </row>
    <row r="28" spans="1:18">
      <c r="A28" s="171" t="s">
        <v>51</v>
      </c>
      <c r="B28" s="34">
        <f>IF(ISERROR(TER_handel_ele_kWh/1000),0,TER_handel_ele_kWh/1000)</f>
        <v>6735.4941402638706</v>
      </c>
      <c r="C28" s="40">
        <f>IF(ISERROR(B28*3.6/1000000/'E Balans VL '!Z13*100),0,B28*3.6/1000000/'E Balans VL '!Z13*100)</f>
        <v>0.18866479556294258</v>
      </c>
      <c r="D28" s="236" t="s">
        <v>691</v>
      </c>
      <c r="F28" s="6"/>
    </row>
    <row r="29" spans="1:18">
      <c r="A29" s="231" t="s">
        <v>50</v>
      </c>
      <c r="B29" s="34">
        <f>IF(ISERROR(TER_gezond_ele_kWh/1000),0,TER_gezond_ele_kWh/1000)</f>
        <v>732.06172966415897</v>
      </c>
      <c r="C29" s="40">
        <f>IF(ISERROR(B29*3.6/1000000/'E Balans VL '!Z10*100),0,B29*3.6/1000000/'E Balans VL '!Z10*100)</f>
        <v>9.3652831879210655E-2</v>
      </c>
      <c r="D29" s="236" t="s">
        <v>691</v>
      </c>
      <c r="F29" s="6"/>
    </row>
    <row r="30" spans="1:18">
      <c r="A30" s="231" t="s">
        <v>49</v>
      </c>
      <c r="B30" s="34">
        <f>IF(ISERROR(TER_ander_ele_kWh/1000),0,TER_ander_ele_kWh/1000)</f>
        <v>2180.82682917796</v>
      </c>
      <c r="C30" s="40">
        <f>IF(ISERROR(B30*3.6/1000000/'E Balans VL '!Z14*100),0,B30*3.6/1000000/'E Balans VL '!Z14*100)</f>
        <v>0.16310747085464083</v>
      </c>
      <c r="D30" s="236" t="s">
        <v>691</v>
      </c>
      <c r="F30" s="6"/>
    </row>
    <row r="31" spans="1:18">
      <c r="A31" s="231" t="s">
        <v>54</v>
      </c>
      <c r="B31" s="34">
        <f>IF(ISERROR(TER_onderwijs_ele_kWh/1000),0,TER_onderwijs_ele_kWh/1000)</f>
        <v>220.819923990956</v>
      </c>
      <c r="C31" s="40">
        <f>IF(ISERROR(B31*3.6/1000000/'E Balans VL '!Z11*100),0,B31*3.6/1000000/'E Balans VL '!Z11*100)</f>
        <v>4.6626412985604271E-2</v>
      </c>
      <c r="D31" s="236" t="s">
        <v>691</v>
      </c>
    </row>
    <row r="32" spans="1:18">
      <c r="A32" s="231" t="s">
        <v>255</v>
      </c>
      <c r="B32" s="34">
        <f>IF(ISERROR(TER_rest_ele_kWh/1000),0,TER_rest_ele_kWh/1000)</f>
        <v>3555.354292174</v>
      </c>
      <c r="C32" s="40">
        <f>IF(ISERROR(B32*3.6/1000000/'E Balans VL '!Z8*100),0,B32*3.6/1000000/'E Balans VL '!Z8*100)</f>
        <v>2.9288767127498744E-2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4</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9885.9783693868703</v>
      </c>
      <c r="C5" s="18">
        <f>IF(ISERROR('Eigen informatie GS &amp; warmtenet'!B59),0,'Eigen informatie GS &amp; warmtenet'!B59)</f>
        <v>0</v>
      </c>
      <c r="D5" s="31">
        <f>SUM(D6:D15)</f>
        <v>5796.3358445191461</v>
      </c>
      <c r="E5" s="18">
        <f>SUM(E6:E15)</f>
        <v>105.10435453512872</v>
      </c>
      <c r="F5" s="18">
        <f>SUM(F6:F15)</f>
        <v>2482.2008309889802</v>
      </c>
      <c r="G5" s="19"/>
      <c r="H5" s="18"/>
      <c r="I5" s="18"/>
      <c r="J5" s="18">
        <f>SUM(J6:J15)</f>
        <v>40.597567280589537</v>
      </c>
      <c r="K5" s="18"/>
      <c r="L5" s="18"/>
      <c r="M5" s="18"/>
      <c r="N5" s="18">
        <f>SUM(N6:N15)</f>
        <v>600.42639340025369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57.454996850899605</v>
      </c>
      <c r="C8" s="34"/>
      <c r="D8" s="38">
        <f>IF( ISERROR(IND_metaal_Gas_kWH/1000),0,IND_metaal_Gas_kWH/1000)*0.902</f>
        <v>0</v>
      </c>
      <c r="E8" s="34">
        <f>C30*'E Balans VL '!I18/100/3.6*1000000</f>
        <v>0.52323230222088613</v>
      </c>
      <c r="F8" s="34">
        <f>C30*'E Balans VL '!L18/100/3.6*1000000+C30*'E Balans VL '!N18/100/3.6*1000000</f>
        <v>7.5778777638935271</v>
      </c>
      <c r="G8" s="35"/>
      <c r="H8" s="34"/>
      <c r="I8" s="34"/>
      <c r="J8" s="41">
        <f>C30*'E Balans VL '!D18/100/3.6*1000000+C30*'E Balans VL '!E18/100/3.6*1000000</f>
        <v>0.94217852670324986</v>
      </c>
      <c r="K8" s="34"/>
      <c r="L8" s="34"/>
      <c r="M8" s="34"/>
      <c r="N8" s="34">
        <f>C30*'E Balans VL '!Y18/100/3.6*1000000</f>
        <v>0.19745000023759071</v>
      </c>
      <c r="O8" s="34"/>
      <c r="P8" s="34"/>
      <c r="R8" s="33"/>
    </row>
    <row r="9" spans="1:18">
      <c r="A9" s="6" t="s">
        <v>32</v>
      </c>
      <c r="B9" s="38">
        <f t="shared" si="0"/>
        <v>973.21660552925198</v>
      </c>
      <c r="C9" s="34"/>
      <c r="D9" s="38">
        <f>IF( ISERROR(IND_andere_gas_kWh/1000),0,IND_andere_gas_kWh/1000)*0.902</f>
        <v>686.50360962343439</v>
      </c>
      <c r="E9" s="34">
        <f>C31*'E Balans VL '!I19/100/3.6*1000000</f>
        <v>5.6253374151513951</v>
      </c>
      <c r="F9" s="34">
        <f>C31*'E Balans VL '!L19/100/3.6*1000000+C31*'E Balans VL '!N19/100/3.6*1000000</f>
        <v>774.24063902847331</v>
      </c>
      <c r="G9" s="35"/>
      <c r="H9" s="34"/>
      <c r="I9" s="34"/>
      <c r="J9" s="41">
        <f>C31*'E Balans VL '!D19/100/3.6*1000000+C31*'E Balans VL '!E19/100/3.6*1000000</f>
        <v>9.2055480699198486E-2</v>
      </c>
      <c r="K9" s="34"/>
      <c r="L9" s="34"/>
      <c r="M9" s="34"/>
      <c r="N9" s="34">
        <f>C31*'E Balans VL '!Y19/100/3.6*1000000</f>
        <v>73.73588585475359</v>
      </c>
      <c r="O9" s="34"/>
      <c r="P9" s="34"/>
      <c r="R9" s="33"/>
    </row>
    <row r="10" spans="1:18">
      <c r="A10" s="6" t="s">
        <v>40</v>
      </c>
      <c r="B10" s="38">
        <f t="shared" si="0"/>
        <v>222.55408054436401</v>
      </c>
      <c r="C10" s="34"/>
      <c r="D10" s="38">
        <f>IF( ISERROR(IND_voed_gas_kWh/1000),0,IND_voed_gas_kWh/1000)*0.902</f>
        <v>226.15638047964504</v>
      </c>
      <c r="E10" s="34">
        <f>C32*'E Balans VL '!I20/100/3.6*1000000</f>
        <v>2.188288846901508</v>
      </c>
      <c r="F10" s="34">
        <f>C32*'E Balans VL '!L20/100/3.6*1000000+C32*'E Balans VL '!N20/100/3.6*1000000</f>
        <v>24.717535563722862</v>
      </c>
      <c r="G10" s="35"/>
      <c r="H10" s="34"/>
      <c r="I10" s="34"/>
      <c r="J10" s="41">
        <f>C32*'E Balans VL '!D20/100/3.6*1000000+C32*'E Balans VL '!E20/100/3.6*1000000</f>
        <v>8.7718666489848877E-4</v>
      </c>
      <c r="K10" s="34"/>
      <c r="L10" s="34"/>
      <c r="M10" s="34"/>
      <c r="N10" s="34">
        <f>C32*'E Balans VL '!Y20/100/3.6*1000000</f>
        <v>3.2955024304833938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765.53010217378494</v>
      </c>
      <c r="C13" s="34"/>
      <c r="D13" s="38">
        <f>IF( ISERROR(IND_papier_gas_kWh/1000),0,IND_papier_gas_kWh/1000)*0.902</f>
        <v>155.25284710656121</v>
      </c>
      <c r="E13" s="34">
        <f>C35*'E Balans VL '!I23/100/3.6*1000000</f>
        <v>26.075065226926419</v>
      </c>
      <c r="F13" s="34">
        <f>C35*'E Balans VL '!L23/100/3.6*1000000+C35*'E Balans VL '!N23/100/3.6*1000000</f>
        <v>126.44760627435262</v>
      </c>
      <c r="G13" s="35"/>
      <c r="H13" s="34"/>
      <c r="I13" s="34"/>
      <c r="J13" s="41">
        <f>C35*'E Balans VL '!D23/100/3.6*1000000+C35*'E Balans VL '!E23/100/3.6*1000000</f>
        <v>0</v>
      </c>
      <c r="K13" s="34"/>
      <c r="L13" s="34"/>
      <c r="M13" s="34"/>
      <c r="N13" s="34">
        <f>C35*'E Balans VL '!Y23/100/3.6*1000000</f>
        <v>281.69454767409349</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7867.22258428857</v>
      </c>
      <c r="C15" s="34"/>
      <c r="D15" s="38">
        <f>IF( ISERROR(IND_rest_gas_kWh/1000),0,IND_rest_gas_kWh/1000)*0.902</f>
        <v>4728.4230073095059</v>
      </c>
      <c r="E15" s="34">
        <f>C37*'E Balans VL '!I15/100/3.6*1000000</f>
        <v>70.692430743928512</v>
      </c>
      <c r="F15" s="34">
        <f>C37*'E Balans VL '!L15/100/3.6*1000000+C37*'E Balans VL '!N15/100/3.6*1000000</f>
        <v>1549.2171723585379</v>
      </c>
      <c r="G15" s="35"/>
      <c r="H15" s="34"/>
      <c r="I15" s="34"/>
      <c r="J15" s="41">
        <f>C37*'E Balans VL '!D15/100/3.6*1000000+C37*'E Balans VL '!E15/100/3.6*1000000</f>
        <v>39.562456086522189</v>
      </c>
      <c r="K15" s="34"/>
      <c r="L15" s="34"/>
      <c r="M15" s="34"/>
      <c r="N15" s="34">
        <f>C37*'E Balans VL '!Y15/100/3.6*1000000</f>
        <v>241.50300744068559</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9885.9783693868703</v>
      </c>
      <c r="C18" s="22">
        <f>C5+C16</f>
        <v>0</v>
      </c>
      <c r="D18" s="22">
        <f>MAX((D5+D16),0)</f>
        <v>5796.3358445191461</v>
      </c>
      <c r="E18" s="22">
        <f>MAX((E5+E16),0)</f>
        <v>105.10435453512872</v>
      </c>
      <c r="F18" s="22">
        <f>MAX((F5+F16),0)</f>
        <v>2482.2008309889802</v>
      </c>
      <c r="G18" s="22"/>
      <c r="H18" s="22"/>
      <c r="I18" s="22"/>
      <c r="J18" s="22">
        <f>MAX((J5+J16),0)</f>
        <v>40.597567280589537</v>
      </c>
      <c r="K18" s="22"/>
      <c r="L18" s="22">
        <f>MAX((L5+L16),0)</f>
        <v>0</v>
      </c>
      <c r="M18" s="22"/>
      <c r="N18" s="22">
        <f>MAX((N5+N16),0)</f>
        <v>600.42639340025369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0.20829415586767533</v>
      </c>
      <c r="C20" s="26">
        <f ca="1">'EF ele_warmte'!B22</f>
        <v>0.23764705882352938</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2059.1915193775358</v>
      </c>
      <c r="C22" s="24">
        <f ca="1">C18*C20</f>
        <v>0</v>
      </c>
      <c r="D22" s="24">
        <f>D18*D20</f>
        <v>1170.8598405928676</v>
      </c>
      <c r="E22" s="24">
        <f>E18*E20</f>
        <v>23.858688479474221</v>
      </c>
      <c r="F22" s="24">
        <f>F18*F20</f>
        <v>662.7476218740577</v>
      </c>
      <c r="G22" s="24"/>
      <c r="H22" s="24"/>
      <c r="I22" s="24"/>
      <c r="J22" s="24">
        <f>J18*J20</f>
        <v>14.371538817328695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57.454996850899605</v>
      </c>
      <c r="C30" s="40">
        <f>IF(ISERROR(B30*3.6/1000000/'E Balans VL '!Z18*100),0,B30*3.6/1000000/'E Balans VL '!Z18*100)</f>
        <v>3.1969863764849419E-3</v>
      </c>
      <c r="D30" s="236" t="s">
        <v>691</v>
      </c>
    </row>
    <row r="31" spans="1:18">
      <c r="A31" s="6" t="s">
        <v>32</v>
      </c>
      <c r="B31" s="38">
        <f>IF( ISERROR(IND_ander_ele_kWh/1000),0,IND_ander_ele_kWh/1000)</f>
        <v>973.21660552925198</v>
      </c>
      <c r="C31" s="40">
        <f>IF(ISERROR(B31*3.6/1000000/'E Balans VL '!Z19*100),0,B31*3.6/1000000/'E Balans VL '!Z19*100)</f>
        <v>4.5242284029640215E-2</v>
      </c>
      <c r="D31" s="236" t="s">
        <v>691</v>
      </c>
    </row>
    <row r="32" spans="1:18">
      <c r="A32" s="171" t="s">
        <v>40</v>
      </c>
      <c r="B32" s="38">
        <f>IF( ISERROR(IND_voed_ele_kWh/1000),0,IND_voed_ele_kWh/1000)</f>
        <v>222.55408054436401</v>
      </c>
      <c r="C32" s="40">
        <f>IF(ISERROR(B32*3.6/1000000/'E Balans VL '!Z20*100),0,B32*3.6/1000000/'E Balans VL '!Z20*100)</f>
        <v>7.8668372802424835E-3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765.53010217378494</v>
      </c>
      <c r="C35" s="40">
        <f>IF(ISERROR(B35*3.6/1000000/'E Balans VL '!Z22*100),0,B35*3.6/1000000/'E Balans VL '!Z22*100)</f>
        <v>0.15384996331735426</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7867.22258428857</v>
      </c>
      <c r="C37" s="40">
        <f>IF(ISERROR(B37*3.6/1000000/'E Balans VL '!Z15*100),0,B37*3.6/1000000/'E Balans VL '!Z15*100)</f>
        <v>5.9409152156502394E-2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595.86677672813209</v>
      </c>
      <c r="C5" s="18">
        <f>'Eigen informatie GS &amp; warmtenet'!B60</f>
        <v>0</v>
      </c>
      <c r="D5" s="31">
        <f>IF(ISERROR(SUM(LB_lb_gas_kWh,LB_rest_gas_kWh)/1000),0,SUM(LB_lb_gas_kWh,LB_rest_gas_kWh)/1000)*0.902</f>
        <v>23970.536728181185</v>
      </c>
      <c r="E5" s="18">
        <f>B17*'E Balans VL '!I25/3.6*1000000/100</f>
        <v>5.6134642806158466</v>
      </c>
      <c r="F5" s="18">
        <f>B17*('E Balans VL '!L25/3.6*1000000+'E Balans VL '!N25/3.6*1000000)/100</f>
        <v>1944.511043279969</v>
      </c>
      <c r="G5" s="19"/>
      <c r="H5" s="18"/>
      <c r="I5" s="18"/>
      <c r="J5" s="18">
        <f>('E Balans VL '!D25+'E Balans VL '!E25)/3.6*1000000*landbouw!B17/100</f>
        <v>73.71161857671521</v>
      </c>
      <c r="K5" s="18"/>
      <c r="L5" s="18">
        <f>L6*(-1)</f>
        <v>0</v>
      </c>
      <c r="M5" s="18"/>
      <c r="N5" s="18">
        <f>N6*(-1)</f>
        <v>0</v>
      </c>
      <c r="O5" s="18"/>
      <c r="P5" s="18"/>
      <c r="R5" s="33"/>
    </row>
    <row r="6" spans="1:18">
      <c r="A6" s="17" t="s">
        <v>495</v>
      </c>
      <c r="B6" s="18" t="s">
        <v>210</v>
      </c>
      <c r="C6" s="18">
        <f>'lokale energieproductie'!O39+'lokale energieproductie'!O32</f>
        <v>12947.142857142855</v>
      </c>
      <c r="D6" s="305">
        <f>('lokale energieproductie'!P32+'lokale energieproductie'!P39)*(-1)</f>
        <v>-25894.28571428571</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595.86677672813209</v>
      </c>
      <c r="C8" s="22">
        <f>C5+C6</f>
        <v>12947.142857142855</v>
      </c>
      <c r="D8" s="22">
        <f>MAX((D5+D6),0)</f>
        <v>0</v>
      </c>
      <c r="E8" s="22">
        <f>MAX((E5+E6),0)</f>
        <v>5.6134642806158466</v>
      </c>
      <c r="F8" s="22">
        <f>MAX((F5+F6),0)</f>
        <v>1944.511043279969</v>
      </c>
      <c r="G8" s="22"/>
      <c r="H8" s="22"/>
      <c r="I8" s="22"/>
      <c r="J8" s="22">
        <f>MAX((J5+J6),0)</f>
        <v>73.71161857671521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0.20829415586767533</v>
      </c>
      <c r="C10" s="32">
        <f ca="1">'EF ele_warmte'!B22</f>
        <v>0.23764705882352938</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124.11556726817884</v>
      </c>
      <c r="C12" s="24">
        <f ca="1">C8*C10</f>
        <v>3076.8504201680662</v>
      </c>
      <c r="D12" s="24">
        <f>D8*D10</f>
        <v>0</v>
      </c>
      <c r="E12" s="24">
        <f>E8*E10</f>
        <v>1.2742563916997973</v>
      </c>
      <c r="F12" s="24">
        <f>F8*F10</f>
        <v>519.18444855575171</v>
      </c>
      <c r="G12" s="24"/>
      <c r="H12" s="24"/>
      <c r="I12" s="24"/>
      <c r="J12" s="24">
        <f>J8*J10</f>
        <v>26.093912976157185</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8.0670839922275153E-2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73.828885227997176</v>
      </c>
      <c r="C26" s="246">
        <f>B26*'GWP N2O_CH4'!B5</f>
        <v>1550.4065897879407</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5.6845587486857259</v>
      </c>
      <c r="C27" s="246">
        <f>B27*'GWP N2O_CH4'!B5</f>
        <v>119.37573372240024</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1.2383578723455495</v>
      </c>
      <c r="C28" s="246">
        <f>B28*'GWP N2O_CH4'!B4</f>
        <v>383.89094042712037</v>
      </c>
      <c r="D28" s="51"/>
    </row>
    <row r="29" spans="1:4">
      <c r="A29" s="42" t="s">
        <v>272</v>
      </c>
      <c r="B29" s="246">
        <f>B34*'ha_N2O bodem landbouw'!B4</f>
        <v>7.9697022142329743</v>
      </c>
      <c r="C29" s="246">
        <f>B29*'GWP N2O_CH4'!B4</f>
        <v>2470.6076864122219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2.1515687094905769E-3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1.7539976047751854E-5</v>
      </c>
      <c r="C5" s="435" t="s">
        <v>210</v>
      </c>
      <c r="D5" s="420">
        <f>SUM(D6:D11)</f>
        <v>2.3889533116130479E-5</v>
      </c>
      <c r="E5" s="420">
        <f>SUM(E6:E11)</f>
        <v>1.5423565483020922E-3</v>
      </c>
      <c r="F5" s="433" t="s">
        <v>210</v>
      </c>
      <c r="G5" s="420">
        <f>SUM(G6:G11)</f>
        <v>0.30402613316214661</v>
      </c>
      <c r="H5" s="420">
        <f>SUM(H6:H11)</f>
        <v>5.7335781384517351E-2</v>
      </c>
      <c r="I5" s="435" t="s">
        <v>210</v>
      </c>
      <c r="J5" s="435" t="s">
        <v>210</v>
      </c>
      <c r="K5" s="435" t="s">
        <v>210</v>
      </c>
      <c r="L5" s="435" t="s">
        <v>210</v>
      </c>
      <c r="M5" s="420">
        <f>SUM(M6:M11)</f>
        <v>1.6154138402443764E-2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9.9788904445001288E-6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1.1622228816113089E-5</v>
      </c>
      <c r="E6" s="423">
        <f>vkm_GW_PW*SUMIFS(TableVerdeelsleutelVkm[LPG],TableVerdeelsleutelVkm[Voertuigtype],"Lichte voertuigen")*SUMIFS(TableECFTransport[EnergieConsumptieFactor (PJ per km)],TableECFTransport[Index],CONCATENATE($A6,"_LPG_LPG"))</f>
        <v>7.5402033987441485E-4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0.1176413493328437</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2.8351546576408371E-2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6.5331915996767378E-3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2.9189163009469605E-7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4.8285317330018049E-2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1.2956671256240312E-6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2.1485391055969891E-3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5.4626951646378574E-6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1.0390986143312902E-5</v>
      </c>
      <c r="E8" s="423">
        <f>vkm_NGW_PW*SUMIFS(TableVerdeelsleutelVkm[LPG],TableVerdeelsleutelVkm[Voertuigtype],"Lichte voertuigen")*SUMIFS(TableECFTransport[EnergieConsumptieFactor (PJ per km)],TableECFTransport[Index],CONCATENATE($A8,"_LPG_LPG"))</f>
        <v>6.3872311993171831E-4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9.3814222075567485E-2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2.4162764851742461E-2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5.2811187900935917E-3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5.6417033773986999E-8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1.1967645642830692E-2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3.0227239890702812E-7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5.3252032643706063E-4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1.6822684785263168E-6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1.8763181567044859E-6</v>
      </c>
      <c r="E10" s="423">
        <f>vkm_SW_PW*SUMIFS(TableVerdeelsleutelVkm[LPG],TableVerdeelsleutelVkm[Voertuigtype],"Lichte voertuigen")*SUMIFS(TableECFTransport[EnergieConsumptieFactor (PJ per km)],TableECFTransport[Index],CONCATENATE($A10,"_LPG_LPG"))</f>
        <v>1.4961308849595909E-4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2.1809691106478395E-2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4.8195621913899832E-3</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1.1911996916536465E-3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6.7813296218867902E-8</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1.0507907674408243E-2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3.0982545200350786E-7</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4.6756888898573655E-4</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4.8722155688199598</v>
      </c>
      <c r="C14" s="22"/>
      <c r="D14" s="22">
        <f t="shared" ref="D14:M14" si="0">((D5)*10^9/3600)+D12</f>
        <v>6.6359814211473553</v>
      </c>
      <c r="E14" s="22">
        <f t="shared" si="0"/>
        <v>428.43237452835899</v>
      </c>
      <c r="F14" s="22"/>
      <c r="G14" s="22">
        <f t="shared" si="0"/>
        <v>84451.703656151847</v>
      </c>
      <c r="H14" s="22">
        <f t="shared" si="0"/>
        <v>15926.605940143709</v>
      </c>
      <c r="I14" s="22"/>
      <c r="J14" s="22"/>
      <c r="K14" s="22"/>
      <c r="L14" s="22"/>
      <c r="M14" s="22">
        <f t="shared" si="0"/>
        <v>4487.2606673454902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0.20829415586767533</v>
      </c>
      <c r="C16" s="57">
        <f ca="1">'EF ele_warmte'!B22</f>
        <v>0.23764705882352938</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1.0148540291126991</v>
      </c>
      <c r="C18" s="24"/>
      <c r="D18" s="24">
        <f t="shared" ref="D18:M18" si="1">D14*D16</f>
        <v>1.3404682470717659</v>
      </c>
      <c r="E18" s="24">
        <f t="shared" si="1"/>
        <v>97.254149017937493</v>
      </c>
      <c r="F18" s="24"/>
      <c r="G18" s="24">
        <f t="shared" si="1"/>
        <v>22548.604876192545</v>
      </c>
      <c r="H18" s="24">
        <f t="shared" si="1"/>
        <v>3965.7248790957833</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8.9343259770606028E-5</v>
      </c>
      <c r="C50" s="316">
        <f t="shared" ref="C50:P50" si="2">SUM(C51:C52)</f>
        <v>0</v>
      </c>
      <c r="D50" s="316">
        <f t="shared" si="2"/>
        <v>0</v>
      </c>
      <c r="E50" s="316">
        <f t="shared" si="2"/>
        <v>0</v>
      </c>
      <c r="F50" s="316">
        <f t="shared" si="2"/>
        <v>0</v>
      </c>
      <c r="G50" s="316">
        <f t="shared" si="2"/>
        <v>1.7819689307322403E-2</v>
      </c>
      <c r="H50" s="316">
        <f t="shared" si="2"/>
        <v>0</v>
      </c>
      <c r="I50" s="316">
        <f t="shared" si="2"/>
        <v>0</v>
      </c>
      <c r="J50" s="316">
        <f t="shared" si="2"/>
        <v>0</v>
      </c>
      <c r="K50" s="316">
        <f t="shared" si="2"/>
        <v>0</v>
      </c>
      <c r="L50" s="316">
        <f t="shared" si="2"/>
        <v>0</v>
      </c>
      <c r="M50" s="316">
        <f t="shared" si="2"/>
        <v>7.8761128834917648E-4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8.9343259770606028E-5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1.7819689307322403E-2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7.8761128834917648E-4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24.817572158501676</v>
      </c>
      <c r="C54" s="22">
        <f t="shared" ref="C54:P54" si="3">(C50)*10^9/3600</f>
        <v>0</v>
      </c>
      <c r="D54" s="22">
        <f t="shared" si="3"/>
        <v>0</v>
      </c>
      <c r="E54" s="22">
        <f t="shared" si="3"/>
        <v>0</v>
      </c>
      <c r="F54" s="22">
        <f t="shared" si="3"/>
        <v>0</v>
      </c>
      <c r="G54" s="22">
        <f t="shared" si="3"/>
        <v>4949.9136964784448</v>
      </c>
      <c r="H54" s="22">
        <f t="shared" si="3"/>
        <v>0</v>
      </c>
      <c r="I54" s="22">
        <f t="shared" si="3"/>
        <v>0</v>
      </c>
      <c r="J54" s="22">
        <f t="shared" si="3"/>
        <v>0</v>
      </c>
      <c r="K54" s="22">
        <f t="shared" si="3"/>
        <v>0</v>
      </c>
      <c r="L54" s="22">
        <f t="shared" si="3"/>
        <v>0</v>
      </c>
      <c r="M54" s="22">
        <f t="shared" si="3"/>
        <v>218.78091343032682</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0.20829415586767533</v>
      </c>
      <c r="C56" s="57">
        <f ca="1">'EF ele_warmte'!B22</f>
        <v>0.23764705882352938</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5.1693552434402275</v>
      </c>
      <c r="C58" s="24">
        <f t="shared" ref="C58:P58" ca="1" si="4">C54*C56</f>
        <v>0</v>
      </c>
      <c r="D58" s="24">
        <f t="shared" si="4"/>
        <v>0</v>
      </c>
      <c r="E58" s="24">
        <f t="shared" si="4"/>
        <v>0</v>
      </c>
      <c r="F58" s="24">
        <f t="shared" si="4"/>
        <v>0</v>
      </c>
      <c r="G58" s="24">
        <f t="shared" si="4"/>
        <v>1321.6269569597448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3607.6389341223871</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9062.9999999999982</v>
      </c>
      <c r="C8" s="546">
        <f>B48</f>
        <v>10662.352941176468</v>
      </c>
      <c r="D8" s="969"/>
      <c r="E8" s="969">
        <f>E48</f>
        <v>0</v>
      </c>
      <c r="F8" s="970"/>
      <c r="G8" s="547"/>
      <c r="H8" s="969">
        <f>I48</f>
        <v>0</v>
      </c>
      <c r="I8" s="969">
        <f>G48+F48</f>
        <v>0</v>
      </c>
      <c r="J8" s="969">
        <f>H48+D48+C48</f>
        <v>0</v>
      </c>
      <c r="K8" s="969"/>
      <c r="L8" s="969"/>
      <c r="M8" s="969"/>
      <c r="N8" s="548"/>
      <c r="O8" s="549">
        <f>C8*$C$12+D8*$D$12+E8*$E$12+F8*$F$12+G8*$G$12+H8*$H$12+I8*$I$12+J8*$J$12</f>
        <v>2153.7952941176468</v>
      </c>
      <c r="P8" s="1243"/>
      <c r="Q8" s="1244"/>
      <c r="S8" s="1006"/>
      <c r="T8" s="1264"/>
      <c r="U8" s="1264"/>
    </row>
    <row r="9" spans="1:21" s="534" customFormat="1" ht="17.45" customHeight="1" thickBot="1">
      <c r="A9" s="550" t="s">
        <v>243</v>
      </c>
      <c r="B9" s="971">
        <f>N36+'Eigen informatie GS &amp; warmtenet'!B12</f>
        <v>1197</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3420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13867.638934122386</v>
      </c>
      <c r="C10" s="558">
        <f t="shared" ref="C10:L10" si="0">SUM(C8:C9)</f>
        <v>10662.352941176468</v>
      </c>
      <c r="D10" s="558">
        <f t="shared" si="0"/>
        <v>0</v>
      </c>
      <c r="E10" s="558">
        <f t="shared" si="0"/>
        <v>0</v>
      </c>
      <c r="F10" s="558">
        <f t="shared" si="0"/>
        <v>0</v>
      </c>
      <c r="G10" s="558">
        <f t="shared" si="0"/>
        <v>0</v>
      </c>
      <c r="H10" s="558">
        <f t="shared" si="0"/>
        <v>0</v>
      </c>
      <c r="I10" s="558">
        <f t="shared" si="0"/>
        <v>0</v>
      </c>
      <c r="J10" s="558">
        <f t="shared" si="0"/>
        <v>3420</v>
      </c>
      <c r="K10" s="558">
        <f t="shared" si="0"/>
        <v>0</v>
      </c>
      <c r="L10" s="558">
        <f t="shared" si="0"/>
        <v>0</v>
      </c>
      <c r="M10" s="973"/>
      <c r="N10" s="973"/>
      <c r="O10" s="559">
        <f>SUM(O4:O9)</f>
        <v>2153.7952941176468</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12947.142857142855</v>
      </c>
      <c r="C17" s="570">
        <f>B49</f>
        <v>15231.932773109238</v>
      </c>
      <c r="D17" s="571"/>
      <c r="E17" s="571">
        <f>E49</f>
        <v>0</v>
      </c>
      <c r="F17" s="572"/>
      <c r="G17" s="573"/>
      <c r="H17" s="570">
        <f>I49</f>
        <v>0</v>
      </c>
      <c r="I17" s="571">
        <f>G49+F49</f>
        <v>0</v>
      </c>
      <c r="J17" s="571">
        <f>H49+D49+C49</f>
        <v>0</v>
      </c>
      <c r="K17" s="571"/>
      <c r="L17" s="571"/>
      <c r="M17" s="571"/>
      <c r="N17" s="976"/>
      <c r="O17" s="574">
        <f>C17*$C$22+E17*$E$22+H17*$H$22+I17*$I$22+J17*$J$22+D17*$D$22+F17*$F$22+G17*$G$22+K17*$K$22+L17*$L$22</f>
        <v>3076.8504201680662</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12947.142857142855</v>
      </c>
      <c r="C20" s="557">
        <f>SUM(C17:C19)</f>
        <v>15231.932773109238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3076.8504201680662</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24038</v>
      </c>
      <c r="C28" s="777">
        <v>3020</v>
      </c>
      <c r="D28" s="630" t="s">
        <v>965</v>
      </c>
      <c r="E28" s="629" t="s">
        <v>966</v>
      </c>
      <c r="F28" s="629" t="s">
        <v>967</v>
      </c>
      <c r="G28" s="629" t="s">
        <v>968</v>
      </c>
      <c r="H28" s="629" t="s">
        <v>969</v>
      </c>
      <c r="I28" s="629" t="s">
        <v>966</v>
      </c>
      <c r="J28" s="776">
        <v>40091</v>
      </c>
      <c r="K28" s="776">
        <v>40091</v>
      </c>
      <c r="L28" s="629" t="s">
        <v>970</v>
      </c>
      <c r="M28" s="629">
        <v>2014</v>
      </c>
      <c r="N28" s="629">
        <v>9062.9999999999982</v>
      </c>
      <c r="O28" s="629">
        <v>12947.142857142855</v>
      </c>
      <c r="P28" s="629">
        <v>25894.28571428571</v>
      </c>
      <c r="Q28" s="629">
        <v>0</v>
      </c>
      <c r="R28" s="629">
        <v>0</v>
      </c>
      <c r="S28" s="629">
        <v>0</v>
      </c>
      <c r="T28" s="629">
        <v>0</v>
      </c>
      <c r="U28" s="629">
        <v>0</v>
      </c>
      <c r="V28" s="629">
        <v>0</v>
      </c>
      <c r="W28" s="629"/>
      <c r="X28" s="629">
        <v>10</v>
      </c>
      <c r="Y28" s="629" t="s">
        <v>111</v>
      </c>
      <c r="Z28" s="631" t="s">
        <v>111</v>
      </c>
    </row>
    <row r="29" spans="1:26" s="565" customFormat="1">
      <c r="A29" s="585" t="s">
        <v>275</v>
      </c>
      <c r="B29" s="586"/>
      <c r="C29" s="586"/>
      <c r="D29" s="586"/>
      <c r="E29" s="586"/>
      <c r="F29" s="586"/>
      <c r="G29" s="586"/>
      <c r="H29" s="586"/>
      <c r="I29" s="586"/>
      <c r="J29" s="586"/>
      <c r="K29" s="586"/>
      <c r="L29" s="587"/>
      <c r="M29" s="587">
        <f>SUM(M28:M28)</f>
        <v>2014</v>
      </c>
      <c r="N29" s="587">
        <f>SUM(N28:N28)</f>
        <v>9062.9999999999982</v>
      </c>
      <c r="O29" s="587">
        <f>SUM(O28:O28)</f>
        <v>12947.142857142855</v>
      </c>
      <c r="P29" s="587">
        <f>SUM(P28:P28)</f>
        <v>25894.28571428571</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2014</v>
      </c>
      <c r="N32" s="592">
        <f>SUMIF($Z$28:$Z$28,"landbouw",N28:N28)</f>
        <v>9062.9999999999982</v>
      </c>
      <c r="O32" s="592">
        <f>SUMIF($Z$28:$Z$28,"landbouw",O28:O28)</f>
        <v>12947.142857142855</v>
      </c>
      <c r="P32" s="592">
        <f>SUMIF($Z$28:$Z$28,"landbouw",P28:P28)</f>
        <v>25894.28571428571</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63.75">
      <c r="A35" s="584"/>
      <c r="B35" s="777">
        <v>24038</v>
      </c>
      <c r="C35" s="777">
        <v>3020</v>
      </c>
      <c r="D35" s="632" t="s">
        <v>971</v>
      </c>
      <c r="E35" s="632" t="s">
        <v>972</v>
      </c>
      <c r="F35" s="632" t="s">
        <v>973</v>
      </c>
      <c r="G35" s="632" t="s">
        <v>974</v>
      </c>
      <c r="H35" s="632" t="s">
        <v>975</v>
      </c>
      <c r="I35" s="632" t="s">
        <v>976</v>
      </c>
      <c r="J35" s="776">
        <v>40179</v>
      </c>
      <c r="K35" s="776">
        <v>41247</v>
      </c>
      <c r="L35" s="632" t="s">
        <v>977</v>
      </c>
      <c r="M35" s="632">
        <v>3192</v>
      </c>
      <c r="N35" s="632">
        <v>1197</v>
      </c>
      <c r="O35" s="632">
        <v>0</v>
      </c>
      <c r="P35" s="632">
        <v>0</v>
      </c>
      <c r="Q35" s="632">
        <v>3420</v>
      </c>
      <c r="R35" s="632">
        <v>0</v>
      </c>
      <c r="S35" s="632">
        <v>0</v>
      </c>
      <c r="T35" s="632">
        <v>0</v>
      </c>
      <c r="U35" s="632">
        <v>0</v>
      </c>
      <c r="V35" s="632">
        <v>0</v>
      </c>
      <c r="W35" s="632"/>
      <c r="X35" s="632">
        <v>1600</v>
      </c>
      <c r="Y35" s="632" t="s">
        <v>49</v>
      </c>
      <c r="Z35" s="633" t="s">
        <v>155</v>
      </c>
    </row>
    <row r="36" spans="1:27" s="565" customFormat="1">
      <c r="A36" s="585" t="s">
        <v>275</v>
      </c>
      <c r="B36" s="586"/>
      <c r="C36" s="586"/>
      <c r="D36" s="586"/>
      <c r="E36" s="586"/>
      <c r="F36" s="586"/>
      <c r="G36" s="586"/>
      <c r="H36" s="586"/>
      <c r="I36" s="586"/>
      <c r="J36" s="586"/>
      <c r="K36" s="586"/>
      <c r="L36" s="587"/>
      <c r="M36" s="587">
        <f>SUM(M35:M35)</f>
        <v>3192</v>
      </c>
      <c r="N36" s="587">
        <f>SUM(N35:N35)</f>
        <v>1197</v>
      </c>
      <c r="O36" s="587">
        <f>SUM(O35:O35)</f>
        <v>0</v>
      </c>
      <c r="P36" s="587">
        <f>SUM(P35:P35)</f>
        <v>0</v>
      </c>
      <c r="Q36" s="587">
        <f>SUM(Q35:Q35)</f>
        <v>3420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3192</v>
      </c>
      <c r="N38" s="587">
        <f>SUMIF($Z$35:$Z$36,"tertiair",N35:N36)</f>
        <v>1197</v>
      </c>
      <c r="O38" s="587">
        <f>SUMIF($Z$35:$Z$36,"tertiair",O35:O36)</f>
        <v>0</v>
      </c>
      <c r="P38" s="587">
        <f>SUMIF($Z$35:$Z$36,"tertiair",P35:P36)</f>
        <v>0</v>
      </c>
      <c r="Q38" s="587">
        <f>SUMIF($Z$35:$Z$36,"tertiair",Q35:Q36)</f>
        <v>3420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0.58823529411764697</v>
      </c>
      <c r="C45" s="612">
        <f>IF(ISERROR(N29/(O29+N29)),0,N29/(N29+O29))</f>
        <v>0.41176470588235292</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10662.352941176468</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15231.932773109238</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2021-06-29T16:41:30Z</dcterms:modified>
</cp:coreProperties>
</file>