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G12" i="18"/>
  <c r="F12" i="18"/>
  <c r="E12" i="18"/>
  <c r="D12" i="18"/>
  <c r="C12" i="18"/>
  <c r="L10" i="18"/>
  <c r="K10" i="18"/>
  <c r="G10" i="18"/>
  <c r="D10" i="18"/>
  <c r="B6" i="18"/>
  <c r="B5" i="18"/>
  <c r="B4" i="18"/>
  <c r="B45" i="18" l="1"/>
  <c r="H49" i="18" s="1"/>
  <c r="I9" i="18"/>
  <c r="J9" i="18"/>
  <c r="O9" i="18" s="1"/>
  <c r="F20" i="18"/>
  <c r="B17" i="18"/>
  <c r="B20" i="18" s="1"/>
  <c r="C45" i="18"/>
  <c r="B48" i="18" s="1"/>
  <c r="C8" i="18" s="1"/>
  <c r="G20" i="18"/>
  <c r="K20" i="18"/>
  <c r="B10" i="18"/>
  <c r="O19" i="18"/>
  <c r="O18" i="18"/>
  <c r="G49" i="18"/>
  <c r="C49" i="18"/>
  <c r="I48" i="18"/>
  <c r="H8" i="18" s="1"/>
  <c r="H10" i="18" s="1"/>
  <c r="E48" i="18"/>
  <c r="E8" i="18" s="1"/>
  <c r="E10" i="18" s="1"/>
  <c r="C48" i="18"/>
  <c r="H48" i="18"/>
  <c r="N6" i="17"/>
  <c r="L6" i="17"/>
  <c r="F6" i="17"/>
  <c r="D6" i="17"/>
  <c r="C6" i="17"/>
  <c r="N16" i="16"/>
  <c r="L16" i="16"/>
  <c r="F16" i="16"/>
  <c r="D16" i="16"/>
  <c r="C16" i="16"/>
  <c r="B16" i="16"/>
  <c r="B13" i="15"/>
  <c r="E49" i="18" l="1"/>
  <c r="E17" i="18" s="1"/>
  <c r="E20" i="18" s="1"/>
  <c r="I49" i="18"/>
  <c r="H17" i="18" s="1"/>
  <c r="H20" i="18" s="1"/>
  <c r="F49" i="18"/>
  <c r="B49" i="18"/>
  <c r="C17" i="18" s="1"/>
  <c r="F48" i="18"/>
  <c r="D49" i="18"/>
  <c r="D48" i="18"/>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J76" i="14"/>
  <c r="J8" i="56" s="1"/>
  <c r="J10" i="56" s="1"/>
  <c r="F10" i="56"/>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M90" i="14"/>
  <c r="D90" i="14"/>
  <c r="I90"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H18" i="22"/>
  <c r="I50" i="14" s="1"/>
  <c r="I52" i="14" s="1"/>
  <c r="I61" i="14" s="1"/>
  <c r="I63" i="14" s="1"/>
  <c r="N20" i="15"/>
  <c r="O40" i="14" s="1"/>
  <c r="F20" i="15"/>
  <c r="G40" i="14" s="1"/>
  <c r="N5" i="16"/>
  <c r="E5" i="16"/>
  <c r="J5" i="16"/>
  <c r="F5" i="16"/>
  <c r="N12" i="13"/>
  <c r="O41" i="14" s="1"/>
  <c r="J12" i="13"/>
  <c r="K41" i="14" s="1"/>
  <c r="L20" i="15"/>
  <c r="M40" i="14" s="1"/>
  <c r="M46" i="14" s="1"/>
  <c r="N52" i="14" l="1"/>
  <c r="N61" i="14" s="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<sst xmlns="http://schemas.openxmlformats.org/spreadsheetml/2006/main" count="2574" uniqueCount="972">
  <si>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</si>
  <si>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</si>
  <si>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</si>
  <si>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</si>
  <si>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</si>
  <si>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</si>
  <si>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</si>
  <si>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</si>
  <si>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</si>
  <si>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</si>
  <si>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</si>
  <si>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</si>
  <si>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</si>
  <si>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</si>
  <si>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</si>
  <si>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</si>
  <si>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</si>
  <si>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</si>
  <si>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</si>
  <si>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</si>
  <si>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</si>
  <si>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</si>
  <si>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</si>
  <si>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</si>
  <si>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</si>
  <si>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</si>
  <si>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</si>
  <si>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</si>
  <si>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</si>
  <si>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</si>
  <si>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</si>
  <si>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</si>
  <si>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</si>
  <si>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</si>
  <si>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</si>
  <si>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</si>
  <si>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</si>
  <si>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</si>
  <si>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</si>
  <si>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</si>
  <si>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</si>
  <si>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</si>
  <si>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</si>
  <si>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</si>
  <si>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</si>
  <si>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</si>
  <si>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</si>
  <si>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</si>
  <si>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</si>
  <si>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</si>
  <si>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</si>
  <si>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</si>
  <si>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</si>
  <si>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</si>
  <si>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</si>
  <si>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</si>
  <si>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</si>
  <si>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</si>
  <si>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</si>
  <si>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</si>
  <si>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</si>
  <si>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</si>
  <si>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</si>
  <si>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</si>
  <si>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</si>
  <si>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</si>
  <si>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</si>
  <si>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</si>
  <si>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</si>
  <si>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</si>
  <si>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</si>
  <si>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</si>
  <si>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</si>
  <si>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</si>
  <si>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</si>
  <si>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</si>
  <si>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</si>
  <si>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</si>
  <si>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</si>
  <si>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</si>
  <si>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</si>
  <si>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</si>
  <si>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</si>
  <si>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</si>
  <si>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</si>
  <si>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</si>
  <si>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</si>
  <si>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</si>
  <si>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</si>
  <si>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</si>
  <si>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</si>
  <si>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</si>
  <si>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</si>
  <si>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</si>
  <si>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</si>
  <si>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</si>
  <si>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</si>
  <si>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</si>
  <si>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</si>
  <si>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</si>
  <si>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</si>
  <si>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</si>
  <si>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</si>
  <si>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</si>
  <si>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</si>
  <si>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</si>
  <si>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</si>
  <si>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</si>
  <si>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</si>
  <si>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</si>
  <si>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</si>
  <si>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</si>
  <si>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</si>
  <si>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</si>
  <si>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</si>
  <si>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</si>
  <si>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</si>
  <si>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</si>
  <si>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</si>
  <si>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</si>
  <si>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</si>
  <si>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</si>
  <si>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</si>
  <si>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</si>
  <si>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</si>
  <si>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</si>
  <si>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</si>
  <si>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</si>
  <si>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</si>
  <si>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</si>
  <si>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</si>
  <si>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</si>
  <si>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</si>
  <si>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</si>
  <si>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</si>
  <si>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</si>
  <si>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</si>
  <si>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</si>
  <si>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</si>
  <si>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</si>
  <si>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</si>
  <si>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</si>
  <si>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</si>
  <si>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</si>
  <si>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</si>
  <si>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</si>
  <si>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</si>
  <si>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</si>
  <si>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</si>
  <si>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</si>
  <si>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</si>
  <si>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</si>
  <si>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</si>
  <si>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</si>
  <si>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</si>
  <si>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</si>
  <si>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</si>
  <si>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</si>
  <si>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</si>
  <si>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</si>
  <si>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</si>
  <si>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</si>
  <si>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</si>
  <si>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</si>
  <si>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</si>
  <si>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</si>
  <si>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</si>
  <si>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</si>
  <si>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</si>
  <si>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</si>
  <si>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</si>
  <si>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</si>
  <si>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</si>
  <si>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</si>
  <si>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</si>
  <si>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</si>
  <si>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</si>
  <si>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</si>
  <si>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</si>
  <si>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</si>
  <si>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</si>
  <si>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</si>
  <si>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</si>
  <si>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</si>
  <si>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</si>
  <si>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</si>
  <si>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</si>
  <si>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</si>
  <si>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</si>
  <si>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</si>
  <si>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</si>
  <si>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</si>
  <si>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</si>
  <si>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</si>
  <si>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</si>
  <si>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</si>
  <si>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</si>
  <si>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</si>
  <si>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</si>
  <si>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</si>
  <si>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</si>
  <si>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</si>
  <si>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</si>
  <si>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</si>
  <si>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</si>
  <si>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</si>
  <si>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</si>
  <si>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</si>
  <si>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</si>
  <si>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</si>
  <si>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</si>
  <si>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</si>
  <si>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</si>
  <si>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</si>
  <si>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</si>
  <si>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</si>
  <si>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</si>
  <si>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</si>
  <si>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</si>
  <si>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</si>
  <si>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</si>
  <si>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</si>
  <si>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</si>
  <si>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</si>
  <si>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</si>
  <si>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</si>
  <si>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</si>
  <si>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</si>
  <si>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</si>
  <si>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</si>
  <si>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</si>
  <si>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</si>
  <si>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</si>
  <si>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</si>
  <si>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</si>
  <si>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</si>
  <si>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</si>
  <si>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</si>
  <si>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</si>
  <si>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</si>
  <si>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</si>
  <si>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</si>
  <si>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</si>
  <si>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</si>
  <si>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</si>
  <si>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</si>
  <si>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</si>
  <si>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</si>
  <si>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</si>
  <si>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</si>
  <si>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</si>
  <si>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</si>
  <si>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</si>
  <si>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</si>
  <si>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</si>
  <si>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</si>
  <si>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</si>
  <si>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</si>
  <si>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</si>
  <si>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</si>
  <si>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</si>
  <si>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</si>
  <si>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</si>
  <si>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</si>
  <si>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</si>
  <si>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</si>
  <si>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</si>
  <si>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</si>
  <si>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</si>
  <si>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</si>
  <si>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</si>
  <si>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</si>
  <si>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</si>
  <si>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</si>
  <si>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</si>
  <si>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</si>
  <si>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</si>
  <si>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</si>
  <si>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</si>
  <si>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</si>
  <si>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</si>
  <si>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</si>
  <si>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</si>
  <si>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</si>
  <si>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</si>
  <si>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</si>
  <si>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</si>
  <si>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</si>
  <si>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</si>
  <si>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</si>
  <si>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</si>
  <si>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</si>
  <si>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</si>
  <si>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</si>
  <si>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</si>
  <si>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</si>
  <si>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</si>
  <si>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</si>
  <si>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</si>
  <si>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</si>
  <si>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</si>
  <si>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</si>
  <si>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</si>
  <si>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</si>
  <si>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</si>
  <si>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</si>
  <si>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</si>
  <si>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</si>
  <si>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</si>
  <si>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</si>
  <si>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</si>
  <si>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</si>
  <si>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</si>
  <si>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</si>
  <si>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</si>
  <si>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</si>
  <si>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</si>
  <si>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</si>
  <si>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</si>
  <si>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</si>
  <si>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</si>
  <si>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</si>
  <si>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</si>
  <si>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</si>
  <si>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</si>
  <si>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</si>
  <si>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</si>
  <si>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</si>
  <si>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</si>
  <si>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</si>
  <si>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</si>
  <si>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</si>
  <si>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</si>
  <si>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</si>
  <si>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</si>
  <si>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</si>
  <si>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</si>
  <si>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</si>
  <si>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</si>
  <si>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</si>
  <si>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</si>
  <si>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</si>
  <si>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</si>
  <si>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</si>
  <si>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</si>
  <si>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</si>
  <si>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</si>
  <si>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</si>
  <si>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</si>
  <si>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</si>
  <si>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</si>
  <si>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</si>
  <si>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</si>
  <si>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</si>
  <si>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</si>
  <si>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</si>
  <si>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</si>
  <si>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</si>
  <si>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</si>
  <si>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</si>
  <si>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</si>
  <si>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</si>
  <si>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</si>
  <si>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</si>
  <si>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</si>
  <si>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</si>
  <si>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</si>
  <si>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</si>
  <si>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</si>
  <si>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</si>
  <si>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</si>
  <si>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</si>
  <si>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</si>
  <si>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</si>
  <si>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</si>
  <si>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</si>
  <si>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</si>
  <si>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</si>
  <si>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</si>
  <si>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</si>
  <si>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</si>
  <si>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</si>
  <si>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</si>
  <si>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</si>
  <si>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</si>
  <si>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</si>
  <si>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</si>
  <si>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</si>
  <si>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</si>
  <si>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</si>
  <si>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</si>
  <si>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</si>
  <si>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</si>
  <si>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</si>
  <si>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</si>
  <si>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</si>
  <si>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</si>
  <si>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</si>
  <si>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</si>
  <si>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</si>
  <si>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</si>
  <si>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</si>
  <si>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</si>
  <si>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</si>
  <si>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</si>
  <si>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</si>
  <si>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</si>
  <si>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</si>
  <si>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</si>
  <si>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</si>
  <si>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</si>
  <si>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</si>
  <si>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</si>
  <si>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</si>
  <si>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</si>
  <si>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</si>
  <si>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</si>
  <si>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</si>
  <si>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</si>
  <si>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</si>
  <si>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</si>
  <si>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</si>
  <si>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</si>
  <si>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</si>
  <si>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</si>
  <si>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</si>
  <si>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</si>
  <si>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</si>
  <si>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</si>
  <si>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</si>
  <si>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</si>
  <si>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</si>
  <si>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</si>
  <si>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</si>
  <si>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</si>
  <si>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</si>
  <si>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</si>
  <si>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</si>
  <si>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</si>
  <si>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</si>
  <si>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</si>
  <si>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</si>
  <si>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</si>
  <si>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</si>
  <si>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</si>
  <si>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</si>
  <si>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</si>
  <si>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</si>
  <si>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</si>
  <si>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</si>
  <si>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</si>
  <si>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</si>
  <si>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</si>
  <si>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</si>
  <si>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</si>
  <si>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</si>
  <si>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</si>
  <si>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</si>
  <si>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</si>
  <si>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</si>
  <si>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</si>
  <si>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</si>
  <si>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</si>
  <si>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</si>
  <si>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</si>
  <si>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</si>
  <si>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</si>
  <si>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</si>
  <si>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</si>
  <si>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</si>
  <si>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</si>
  <si>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</si>
  <si>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</si>
  <si>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</si>
  <si>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</si>
  <si>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</si>
  <si>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</si>
  <si>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</si>
  <si>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</si>
  <si>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</si>
  <si>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</si>
  <si>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</si>
  <si>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</si>
  <si>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</si>
  <si>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</si>
  <si>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</si>
  <si>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</si>
  <si>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</si>
  <si>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</si>
  <si>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</si>
  <si>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</si>
  <si>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</si>
  <si>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</si>
  <si>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</si>
  <si>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</si>
  <si>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</si>
  <si>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</si>
  <si>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</si>
  <si>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</si>
  <si>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</si>
  <si>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</si>
  <si>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</si>
  <si>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</si>
  <si>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</si>
  <si>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</si>
  <si>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</si>
  <si>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</si>
  <si>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</si>
  <si>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</si>
  <si>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</si>
  <si>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</si>
  <si>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</si>
  <si>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</si>
  <si>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</si>
  <si>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</si>
  <si>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</si>
  <si>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</si>
  <si>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</si>
  <si>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</si>
  <si>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</si>
  <si>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</si>
  <si>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</si>
  <si>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</si>
  <si>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</si>
  <si>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</si>
  <si>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</si>
  <si>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</si>
  <si>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</si>
  <si>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</si>
  <si>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</si>
  <si>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</si>
  <si>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</si>
  <si>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</si>
  <si>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</si>
  <si>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</si>
  <si>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</si>
  <si>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</si>
  <si>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</si>
  <si>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</si>
  <si>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</si>
  <si>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</si>
  <si>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</si>
  <si>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</si>
  <si>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</si>
  <si>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</si>
  <si>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</si>
  <si>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</si>
  <si>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</si>
  <si>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</si>
  <si>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</si>
  <si>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</si>
  <si>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</si>
  <si>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</si>
  <si>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</si>
  <si>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</si>
  <si>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</si>
  <si>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</si>
  <si>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</si>
  <si>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</si>
  <si>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</si>
  <si>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</si>
  <si>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</si>
  <si>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</si>
  <si>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</si>
  <si>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</si>
  <si>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</si>
  <si>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</si>
  <si>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</si>
  <si>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</si>
  <si>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</si>
  <si>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</si>
  <si>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</si>
  <si>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</si>
  <si>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</si>
  <si>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</si>
  <si>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</si>
  <si>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</si>
  <si>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</si>
  <si>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</si>
  <si>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</si>
  <si>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</si>
  <si>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</si>
  <si>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</si>
  <si>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</si>
  <si>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</si>
  <si>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</si>
  <si>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</si>
  <si>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</si>
  <si>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</si>
  <si>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</si>
  <si>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</si>
  <si>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</si>
  <si>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</si>
  <si>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</si>
  <si>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</si>
  <si>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</si>
  <si>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</si>
  <si>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</si>
  <si>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</si>
  <si>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</si>
  <si>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</si>
  <si>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</si>
  <si>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</si>
  <si>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</si>
  <si>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</si>
  <si>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</si>
  <si>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</si>
  <si>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</si>
  <si>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</si>
  <si>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</si>
  <si>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</si>
  <si>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</si>
  <si>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</si>
  <si>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</si>
  <si>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</si>
  <si>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</si>
  <si>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</si>
  <si>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</si>
  <si>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</si>
  <si>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</si>
  <si>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</si>
  <si>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</si>
  <si>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</si>
  <si>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</si>
  <si>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</si>
  <si>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</si>
  <si>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</si>
  <si>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</si>
  <si>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</si>
  <si>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</si>
  <si>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</si>
  <si>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</si>
  <si>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</si>
  <si>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</si>
  <si>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</si>
  <si>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</si>
  <si>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</si>
  <si>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</si>
  <si>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</si>
  <si>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</si>
  <si>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</si>
  <si>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</si>
  <si>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</si>
  <si>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</si>
  <si>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</si>
  <si>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</si>
  <si>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</si>
  <si>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</si>
  <si>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</si>
  <si>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</si>
  <si>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</si>
  <si>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</si>
  <si>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</si>
  <si>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</si>
  <si>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</si>
  <si>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</si>
  <si>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</si>
  <si>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</si>
  <si>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</si>
  <si>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</si>
  <si>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</si>
  <si>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</si>
  <si>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</si>
  <si>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</si>
  <si>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</si>
  <si>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</si>
  <si>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</si>
  <si>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</si>
  <si>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</si>
  <si>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</si>
  <si>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</si>
  <si>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</si>
  <si>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</si>
  <si>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</si>
  <si>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</si>
  <si>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</si>
  <si>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</si>
  <si>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</si>
  <si>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</si>
  <si>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</si>
  <si>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</si>
  <si>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</si>
  <si>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</si>
  <si>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</si>
  <si>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</si>
  <si>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</si>
  <si>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</si>
  <si>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</si>
  <si>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</si>
  <si>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</si>
  <si>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</si>
  <si>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</si>
  <si>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</si>
  <si>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</si>
  <si>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</si>
  <si>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</si>
  <si>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</si>
  <si>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</si>
  <si>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</si>
  <si>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</si>
  <si>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</si>
  <si>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</si>
  <si>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</si>
  <si>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</si>
  <si>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</si>
  <si>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</si>
  <si>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</si>
  <si>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</si>
  <si>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</si>
  <si>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</si>
  <si>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</si>
  <si>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</si>
  <si>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</si>
  <si>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</si>
  <si>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</si>
  <si>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</si>
  <si>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</si>
  <si>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</si>
  <si>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</si>
  <si>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</si>
  <si>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</si>
  <si>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</si>
  <si>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</si>
  <si>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</si>
  <si>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</si>
  <si>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</si>
  <si>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</si>
  <si>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</si>
  <si>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</si>
  <si>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</si>
  <si>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</si>
  <si>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</si>
  <si>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</si>
  <si>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</si>
  <si>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</si>
  <si>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</si>
  <si>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</si>
  <si>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</si>
  <si>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</si>
  <si>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</si>
  <si>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</si>
  <si>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</si>
  <si>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</si>
  <si>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</si>
  <si>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</si>
  <si>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</si>
  <si>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</si>
  <si>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</si>
  <si>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</si>
  <si>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</si>
  <si>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</si>
  <si>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</si>
  <si>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</si>
  <si>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</si>
  <si>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</si>
  <si>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</si>
  <si>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</si>
  <si>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</si>
  <si>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</si>
  <si>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</si>
  <si>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</si>
  <si>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</si>
  <si>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</si>
  <si>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</si>
  <si>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</si>
  <si>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</si>
  <si>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</si>
  <si>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</si>
  <si>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</si>
  <si>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</si>
  <si>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</si>
  <si>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</si>
  <si>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</si>
  <si>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</si>
  <si>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</si>
  <si>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</si>
  <si>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</si>
  <si>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</si>
  <si>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</si>
  <si>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</si>
  <si>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</si>
  <si>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</si>
  <si>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</si>
  <si>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</si>
  <si>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</si>
  <si>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</si>
  <si>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</si>
  <si>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</si>
  <si>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</si>
  <si>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</si>
  <si>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</si>
  <si>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</si>
  <si>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</si>
  <si>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</si>
  <si>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</si>
  <si>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</si>
  <si>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</si>
  <si>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</si>
  <si>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</si>
  <si>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</si>
  <si>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</si>
  <si>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</si>
  <si>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</si>
  <si>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</si>
  <si>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</si>
  <si>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</si>
  <si>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</si>
  <si>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</si>
  <si>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</si>
  <si>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</si>
  <si>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</si>
  <si>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</si>
  <si>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</si>
  <si>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</si>
  <si>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</si>
  <si>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</si>
  <si>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</si>
  <si>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</si>
  <si>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</si>
  <si>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</si>
  <si>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</si>
  <si>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</si>
  <si>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</si>
  <si>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</si>
  <si>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</si>
  <si>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</si>
  <si>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</si>
  <si>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</si>
  <si>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</si>
  <si>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</si>
  <si>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</si>
  <si>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</si>
  <si>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</si>
  <si>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</si>
  <si>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</si>
  <si>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</si>
  <si>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</si>
  <si>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</si>
  <si>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</si>
  <si>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</si>
  <si>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</si>
  <si>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</si>
  <si>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</si>
  <si>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</si>
  <si>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</si>
  <si>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</si>
  <si>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</si>
  <si>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</si>
  <si>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</si>
  <si>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</si>
  <si>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</si>
  <si>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</si>
  <si>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</si>
  <si>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</si>
  <si>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</si>
  <si>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</si>
  <si>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</si>
  <si>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</si>
  <si>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</si>
  <si>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</si>
  <si>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</si>
  <si>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</si>
  <si>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</si>
  <si>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</si>
  <si>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</si>
  <si>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</si>
  <si>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</si>
  <si>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</si>
  <si>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</si>
  <si>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</si>
  <si>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</si>
  <si>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</si>
  <si>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</si>
  <si>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</si>
  <si>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</si>
  <si>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</si>
  <si>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</si>
  <si>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</si>
  <si>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</si>
  <si>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</si>
  <si>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</si>
  <si>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</si>
  <si>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</si>
  <si>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</si>
  <si>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</si>
  <si>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</si>
  <si>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</si>
  <si>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</si>
  <si>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</si>
  <si>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</si>
  <si>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</si>
  <si>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</si>
  <si>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</si>
  <si>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</si>
  <si>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</si>
  <si>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</si>
  <si>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</si>
  <si>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</si>
  <si>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</si>
  <si>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</si>
  <si>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</si>
  <si>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</si>
  <si>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</si>
  <si>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</si>
  <si>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</si>
  <si>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</si>
  <si>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</si>
  <si>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</si>
  <si>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</si>
  <si>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</si>
  <si>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</si>
  <si>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</si>
  <si>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</si>
  <si>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</si>
  <si>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</si>
  <si>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</si>
  <si>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</si>
  <si>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</si>
  <si>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</si>
  <si>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</si>
  <si>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</si>
  <si>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</si>
  <si>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</si>
  <si>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</si>
  <si>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</si>
  <si>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</si>
  <si>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</si>
  <si>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</si>
  <si>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</si>
  <si>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</si>
  <si>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</si>
  <si>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</si>
  <si>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</si>
  <si>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</si>
  <si>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</si>
  <si>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</si>
  <si>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</si>
  <si>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</si>
  <si>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</si>
  <si>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</si>
  <si>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</si>
  <si>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</si>
  <si>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</si>
  <si>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</si>
  <si>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</si>
  <si>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</si>
  <si>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</si>
  <si>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</si>
  <si>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</si>
  <si>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</si>
  <si>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</si>
  <si>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</si>
  <si>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</si>
  <si>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</si>
  <si>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</si>
  <si>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</si>
  <si>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</si>
  <si>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</si>
  <si>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</si>
  <si>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24016</t>
  </si>
  <si>
    <t>BOUTERSEM</t>
  </si>
  <si>
    <t>Paarden&amp;pony's 200 - 600 kg</t>
  </si>
  <si>
    <t>Paarden&amp;pony's &lt; 200 kg</t>
  </si>
  <si>
    <t>Fluvius</t>
  </si>
  <si>
    <t>referentietaak LNE (2017); Jaarverslag De Lijn</t>
  </si>
  <si>
    <t>Guilliams Green Power BV GCV</t>
  </si>
  <si>
    <t>Dalemstraat 11 , 3370 Boutersem</t>
  </si>
  <si>
    <t>WKK-0239 Bio-Energie Agriferm</t>
  </si>
  <si>
    <t>interne verbrandingsmotor</t>
  </si>
  <si>
    <t>WKK interne verbrandinsgmotor (gas)</t>
  </si>
  <si>
    <t>Dalemstraat 12 , 3370 Boutersem</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</si>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</sst>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24016</v>
      </c>
      <c r="B6" s="386"/>
      <c r="C6" s="387"/>
    </row>
    <row r="7" spans="1:7" s="384" customFormat="1" ht="15.75" customHeight="1">
      <c r="A7" s="388" t="str">
        <f>txtMunicipality</f>
        <v>BOUTERSEM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5176.4799540154982</v>
      </c>
      <c r="D10" s="676">
        <f ca="1">tertiair!C16</f>
        <v>0</v>
      </c>
      <c r="E10" s="676">
        <f ca="1">tertiair!D16</f>
        <v>5069.0738436883876</v>
      </c>
      <c r="F10" s="676">
        <f>tertiair!E16</f>
        <v>38.94195784214979</v>
      </c>
      <c r="G10" s="676">
        <f ca="1">tertiair!F16</f>
        <v>859.48529324704305</v>
      </c>
      <c r="H10" s="676">
        <f>tertiair!G16</f>
        <v>0</v>
      </c>
      <c r="I10" s="676">
        <f>tertiair!H16</f>
        <v>0</v>
      </c>
      <c r="J10" s="676">
        <f>tertiair!I16</f>
        <v>0</v>
      </c>
      <c r="K10" s="676">
        <f>tertiair!J16</f>
        <v>0</v>
      </c>
      <c r="L10" s="676">
        <f>tertiair!K16</f>
        <v>0</v>
      </c>
      <c r="M10" s="676">
        <f ca="1">tertiair!L16</f>
        <v>0</v>
      </c>
      <c r="N10" s="676">
        <f>tertiair!M16</f>
        <v>0</v>
      </c>
      <c r="O10" s="676">
        <f ca="1">tertiair!N16</f>
        <v>334.91155006557705</v>
      </c>
      <c r="P10" s="676">
        <f>tertiair!O16</f>
        <v>0</v>
      </c>
      <c r="Q10" s="677">
        <f>tertiair!P16</f>
        <v>19.066666666666666</v>
      </c>
      <c r="R10" s="679">
        <f ca="1">SUM(C10:Q10)</f>
        <v>11497.959265525322</v>
      </c>
      <c r="S10" s="68"/>
    </row>
    <row r="11" spans="1:19" s="445" customFormat="1">
      <c r="A11" s="791" t="s">
        <v>220</v>
      </c>
      <c r="B11" s="796"/>
      <c r="C11" s="676">
        <f>huishoudens!B8</f>
        <v>14577.435246590247</v>
      </c>
      <c r="D11" s="676">
        <f>huishoudens!C8</f>
        <v>0</v>
      </c>
      <c r="E11" s="676">
        <f>huishoudens!D8</f>
        <v>28734.900913864651</v>
      </c>
      <c r="F11" s="676">
        <f>huishoudens!E8</f>
        <v>786.11133213964456</v>
      </c>
      <c r="G11" s="676">
        <f>huishoudens!F8</f>
        <v>23966.252203160373</v>
      </c>
      <c r="H11" s="676">
        <f>huishoudens!G8</f>
        <v>0</v>
      </c>
      <c r="I11" s="676">
        <f>huishoudens!H8</f>
        <v>0</v>
      </c>
      <c r="J11" s="676">
        <f>huishoudens!I8</f>
        <v>0</v>
      </c>
      <c r="K11" s="676">
        <f>huishoudens!J8</f>
        <v>434.85929528560928</v>
      </c>
      <c r="L11" s="676">
        <f>huishoudens!K8</f>
        <v>0</v>
      </c>
      <c r="M11" s="676">
        <f>huishoudens!L8</f>
        <v>0</v>
      </c>
      <c r="N11" s="676">
        <f>huishoudens!M8</f>
        <v>0</v>
      </c>
      <c r="O11" s="676">
        <f>huishoudens!N8</f>
        <v>4393.8644096523785</v>
      </c>
      <c r="P11" s="676">
        <f>huishoudens!O8</f>
        <v>46.9</v>
      </c>
      <c r="Q11" s="677">
        <f>huishoudens!P8</f>
        <v>95.333333333333343</v>
      </c>
      <c r="R11" s="679">
        <f>SUM(C11:Q11)</f>
        <v>73035.656734026226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820.20892315118749</v>
      </c>
      <c r="D13" s="676">
        <f>industrie!C18</f>
        <v>0</v>
      </c>
      <c r="E13" s="676">
        <f>industrie!D18</f>
        <v>486.29873527308911</v>
      </c>
      <c r="F13" s="676">
        <f>industrie!E18</f>
        <v>6.4122099052914674</v>
      </c>
      <c r="G13" s="676">
        <f>industrie!F18</f>
        <v>398.84121314765747</v>
      </c>
      <c r="H13" s="676">
        <f>industrie!G18</f>
        <v>0</v>
      </c>
      <c r="I13" s="676">
        <f>industrie!H18</f>
        <v>0</v>
      </c>
      <c r="J13" s="676">
        <f>industrie!I18</f>
        <v>0</v>
      </c>
      <c r="K13" s="676">
        <f>industrie!J18</f>
        <v>0.93437106530025216</v>
      </c>
      <c r="L13" s="676">
        <f>industrie!K18</f>
        <v>0</v>
      </c>
      <c r="M13" s="676">
        <f>industrie!L18</f>
        <v>0</v>
      </c>
      <c r="N13" s="676">
        <f>industrie!M18</f>
        <v>0</v>
      </c>
      <c r="O13" s="676">
        <f>industrie!N18</f>
        <v>44.273539233383687</v>
      </c>
      <c r="P13" s="676">
        <f>industrie!O18</f>
        <v>0</v>
      </c>
      <c r="Q13" s="677">
        <f>industrie!P18</f>
        <v>0</v>
      </c>
      <c r="R13" s="679">
        <f>SUM(C13:Q13)</f>
        <v>1756.9689917759094</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20574.124123756934</v>
      </c>
      <c r="D16" s="709">
        <f t="shared" ref="D16:R16" ca="1" si="0">SUM(D9:D15)</f>
        <v>0</v>
      </c>
      <c r="E16" s="709">
        <f t="shared" ca="1" si="0"/>
        <v>34290.273492826127</v>
      </c>
      <c r="F16" s="709">
        <f t="shared" si="0"/>
        <v>831.4654998870858</v>
      </c>
      <c r="G16" s="709">
        <f t="shared" ca="1" si="0"/>
        <v>25224.578709555073</v>
      </c>
      <c r="H16" s="709">
        <f t="shared" si="0"/>
        <v>0</v>
      </c>
      <c r="I16" s="709">
        <f t="shared" si="0"/>
        <v>0</v>
      </c>
      <c r="J16" s="709">
        <f t="shared" si="0"/>
        <v>0</v>
      </c>
      <c r="K16" s="709">
        <f t="shared" si="0"/>
        <v>435.79366635090952</v>
      </c>
      <c r="L16" s="709">
        <f t="shared" si="0"/>
        <v>0</v>
      </c>
      <c r="M16" s="709">
        <f t="shared" ca="1" si="0"/>
        <v>0</v>
      </c>
      <c r="N16" s="709">
        <f t="shared" si="0"/>
        <v>0</v>
      </c>
      <c r="O16" s="709">
        <f t="shared" ca="1" si="0"/>
        <v>4773.049498951339</v>
      </c>
      <c r="P16" s="709">
        <f t="shared" si="0"/>
        <v>46.9</v>
      </c>
      <c r="Q16" s="709">
        <f t="shared" si="0"/>
        <v>114.4</v>
      </c>
      <c r="R16" s="709">
        <f t="shared" ca="1" si="0"/>
        <v>86290.584991327458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3.8221287466897467</v>
      </c>
      <c r="D19" s="676">
        <f>transport!C54</f>
        <v>0</v>
      </c>
      <c r="E19" s="676">
        <f>transport!D54</f>
        <v>0</v>
      </c>
      <c r="F19" s="676">
        <f>transport!E54</f>
        <v>0</v>
      </c>
      <c r="G19" s="676">
        <f>transport!F54</f>
        <v>0</v>
      </c>
      <c r="H19" s="676">
        <f>transport!G54</f>
        <v>762.33111410386209</v>
      </c>
      <c r="I19" s="676">
        <f>transport!H54</f>
        <v>0</v>
      </c>
      <c r="J19" s="676">
        <f>transport!I54</f>
        <v>0</v>
      </c>
      <c r="K19" s="676">
        <f>transport!J54</f>
        <v>0</v>
      </c>
      <c r="L19" s="676">
        <f>transport!K54</f>
        <v>0</v>
      </c>
      <c r="M19" s="676">
        <f>transport!L54</f>
        <v>0</v>
      </c>
      <c r="N19" s="676">
        <f>transport!M54</f>
        <v>33.694223315177737</v>
      </c>
      <c r="O19" s="676">
        <f>transport!N54</f>
        <v>0</v>
      </c>
      <c r="P19" s="676">
        <f>transport!O54</f>
        <v>0</v>
      </c>
      <c r="Q19" s="677">
        <f>transport!P54</f>
        <v>0</v>
      </c>
      <c r="R19" s="679">
        <f>SUM(C19:Q19)</f>
        <v>799.84746616572954</v>
      </c>
      <c r="S19" s="68"/>
    </row>
    <row r="20" spans="1:19" s="445" customFormat="1">
      <c r="A20" s="791" t="s">
        <v>302</v>
      </c>
      <c r="B20" s="796"/>
      <c r="C20" s="676">
        <f>transport!B14</f>
        <v>4.9202143028098249</v>
      </c>
      <c r="D20" s="676">
        <f>transport!C14</f>
        <v>0</v>
      </c>
      <c r="E20" s="676">
        <f>transport!D14</f>
        <v>5.6869807468901836</v>
      </c>
      <c r="F20" s="676">
        <f>transport!E14</f>
        <v>419.48712090231351</v>
      </c>
      <c r="G20" s="676">
        <f>transport!F14</f>
        <v>0</v>
      </c>
      <c r="H20" s="676">
        <f>transport!G14</f>
        <v>91024.607657972243</v>
      </c>
      <c r="I20" s="676">
        <f>transport!H14</f>
        <v>14241.965869722839</v>
      </c>
      <c r="J20" s="676">
        <f>transport!I14</f>
        <v>0</v>
      </c>
      <c r="K20" s="676">
        <f>transport!J14</f>
        <v>0</v>
      </c>
      <c r="L20" s="676">
        <f>transport!K14</f>
        <v>0</v>
      </c>
      <c r="M20" s="676">
        <f>transport!L14</f>
        <v>0</v>
      </c>
      <c r="N20" s="676">
        <f>transport!M14</f>
        <v>4702.5582178001232</v>
      </c>
      <c r="O20" s="676">
        <f>transport!N14</f>
        <v>0</v>
      </c>
      <c r="P20" s="676">
        <f>transport!O14</f>
        <v>0</v>
      </c>
      <c r="Q20" s="677">
        <f>transport!P14</f>
        <v>0</v>
      </c>
      <c r="R20" s="679">
        <f>SUM(C20:Q20)</f>
        <v>110399.22606144722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8.7423430494995706</v>
      </c>
      <c r="D22" s="794">
        <f t="shared" ref="D22:R22" si="1">SUM(D18:D21)</f>
        <v>0</v>
      </c>
      <c r="E22" s="794">
        <f t="shared" si="1"/>
        <v>5.6869807468901836</v>
      </c>
      <c r="F22" s="794">
        <f t="shared" si="1"/>
        <v>419.48712090231351</v>
      </c>
      <c r="G22" s="794">
        <f t="shared" si="1"/>
        <v>0</v>
      </c>
      <c r="H22" s="794">
        <f t="shared" si="1"/>
        <v>91786.938772076101</v>
      </c>
      <c r="I22" s="794">
        <f t="shared" si="1"/>
        <v>14241.965869722839</v>
      </c>
      <c r="J22" s="794">
        <f t="shared" si="1"/>
        <v>0</v>
      </c>
      <c r="K22" s="794">
        <f t="shared" si="1"/>
        <v>0</v>
      </c>
      <c r="L22" s="794">
        <f t="shared" si="1"/>
        <v>0</v>
      </c>
      <c r="M22" s="794">
        <f t="shared" si="1"/>
        <v>0</v>
      </c>
      <c r="N22" s="794">
        <f t="shared" si="1"/>
        <v>4736.2524411153008</v>
      </c>
      <c r="O22" s="794">
        <f t="shared" si="1"/>
        <v>0</v>
      </c>
      <c r="P22" s="794">
        <f t="shared" si="1"/>
        <v>0</v>
      </c>
      <c r="Q22" s="794">
        <f t="shared" si="1"/>
        <v>0</v>
      </c>
      <c r="R22" s="794">
        <f t="shared" si="1"/>
        <v>111199.07352761294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555.37146536205603</v>
      </c>
      <c r="D24" s="676">
        <f>+landbouw!C8</f>
        <v>8022.8571428571431</v>
      </c>
      <c r="E24" s="676">
        <f>+landbouw!D8</f>
        <v>228.17697453753328</v>
      </c>
      <c r="F24" s="676">
        <f>+landbouw!E8</f>
        <v>5.2319713147987565</v>
      </c>
      <c r="G24" s="676">
        <f>+landbouw!F8</f>
        <v>1812.3614030788965</v>
      </c>
      <c r="H24" s="676">
        <f>+landbouw!G8</f>
        <v>0</v>
      </c>
      <c r="I24" s="676">
        <f>+landbouw!H8</f>
        <v>0</v>
      </c>
      <c r="J24" s="676">
        <f>+landbouw!I8</f>
        <v>0</v>
      </c>
      <c r="K24" s="676">
        <f>+landbouw!J8</f>
        <v>68.70215159157496</v>
      </c>
      <c r="L24" s="676">
        <f>+landbouw!K8</f>
        <v>0</v>
      </c>
      <c r="M24" s="676">
        <f>+landbouw!L8</f>
        <v>0</v>
      </c>
      <c r="N24" s="676">
        <f>+landbouw!M8</f>
        <v>0</v>
      </c>
      <c r="O24" s="676">
        <f>+landbouw!N8</f>
        <v>0</v>
      </c>
      <c r="P24" s="676">
        <f>+landbouw!O8</f>
        <v>0</v>
      </c>
      <c r="Q24" s="677">
        <f>+landbouw!P8</f>
        <v>0</v>
      </c>
      <c r="R24" s="679">
        <f>SUM(C24:Q24)</f>
        <v>10692.701108742001</v>
      </c>
      <c r="S24" s="68"/>
    </row>
    <row r="25" spans="1:19" s="445" customFormat="1" ht="15" thickBot="1">
      <c r="A25" s="813" t="s">
        <v>879</v>
      </c>
      <c r="B25" s="979"/>
      <c r="C25" s="980">
        <f>IF(Onbekend_ele_kWh="---",0,Onbekend_ele_kWh)/1000+IF(REST_rest_ele_kWh="---",0,REST_rest_ele_kWh)/1000</f>
        <v>368.18805707119105</v>
      </c>
      <c r="D25" s="980"/>
      <c r="E25" s="980">
        <f>IF(onbekend_gas_kWh="---",0,onbekend_gas_kWh)/1000+IF(REST_rest_gas_kWh="---",0,REST_rest_gas_kWh)/1000</f>
        <v>645.18584449306593</v>
      </c>
      <c r="F25" s="980"/>
      <c r="G25" s="980"/>
      <c r="H25" s="980"/>
      <c r="I25" s="980"/>
      <c r="J25" s="980"/>
      <c r="K25" s="980"/>
      <c r="L25" s="980"/>
      <c r="M25" s="980"/>
      <c r="N25" s="980"/>
      <c r="O25" s="980"/>
      <c r="P25" s="980"/>
      <c r="Q25" s="981"/>
      <c r="R25" s="679">
        <f>SUM(C25:Q25)</f>
        <v>1013.373901564257</v>
      </c>
      <c r="S25" s="68"/>
    </row>
    <row r="26" spans="1:19" s="445" customFormat="1" ht="15.75" thickBot="1">
      <c r="A26" s="682" t="s">
        <v>880</v>
      </c>
      <c r="B26" s="799"/>
      <c r="C26" s="794">
        <f>SUM(C24:C25)</f>
        <v>923.55952243324714</v>
      </c>
      <c r="D26" s="794">
        <f t="shared" ref="D26:R26" si="2">SUM(D24:D25)</f>
        <v>8022.8571428571431</v>
      </c>
      <c r="E26" s="794">
        <f t="shared" si="2"/>
        <v>873.36281903059921</v>
      </c>
      <c r="F26" s="794">
        <f t="shared" si="2"/>
        <v>5.2319713147987565</v>
      </c>
      <c r="G26" s="794">
        <f t="shared" si="2"/>
        <v>1812.3614030788965</v>
      </c>
      <c r="H26" s="794">
        <f t="shared" si="2"/>
        <v>0</v>
      </c>
      <c r="I26" s="794">
        <f t="shared" si="2"/>
        <v>0</v>
      </c>
      <c r="J26" s="794">
        <f t="shared" si="2"/>
        <v>0</v>
      </c>
      <c r="K26" s="794">
        <f t="shared" si="2"/>
        <v>68.70215159157496</v>
      </c>
      <c r="L26" s="794">
        <f t="shared" si="2"/>
        <v>0</v>
      </c>
      <c r="M26" s="794">
        <f t="shared" si="2"/>
        <v>0</v>
      </c>
      <c r="N26" s="794">
        <f t="shared" si="2"/>
        <v>0</v>
      </c>
      <c r="O26" s="794">
        <f t="shared" si="2"/>
        <v>0</v>
      </c>
      <c r="P26" s="794">
        <f t="shared" si="2"/>
        <v>0</v>
      </c>
      <c r="Q26" s="794">
        <f t="shared" si="2"/>
        <v>0</v>
      </c>
      <c r="R26" s="794">
        <f t="shared" si="2"/>
        <v>11706.075010306258</v>
      </c>
      <c r="S26" s="68"/>
    </row>
    <row r="27" spans="1:19" s="445" customFormat="1" ht="17.25" thickTop="1" thickBot="1">
      <c r="A27" s="683" t="s">
        <v>115</v>
      </c>
      <c r="B27" s="786"/>
      <c r="C27" s="684">
        <f ca="1">C22+C16+C26</f>
        <v>21506.42598923968</v>
      </c>
      <c r="D27" s="684">
        <f t="shared" ref="D27:R27" ca="1" si="3">D22+D16+D26</f>
        <v>8022.8571428571431</v>
      </c>
      <c r="E27" s="684">
        <f t="shared" ca="1" si="3"/>
        <v>35169.323292603614</v>
      </c>
      <c r="F27" s="684">
        <f t="shared" si="3"/>
        <v>1256.1845921041981</v>
      </c>
      <c r="G27" s="684">
        <f t="shared" ca="1" si="3"/>
        <v>27036.940112633969</v>
      </c>
      <c r="H27" s="684">
        <f t="shared" si="3"/>
        <v>91786.938772076101</v>
      </c>
      <c r="I27" s="684">
        <f t="shared" si="3"/>
        <v>14241.965869722839</v>
      </c>
      <c r="J27" s="684">
        <f t="shared" si="3"/>
        <v>0</v>
      </c>
      <c r="K27" s="684">
        <f t="shared" si="3"/>
        <v>504.49581794248445</v>
      </c>
      <c r="L27" s="684">
        <f t="shared" si="3"/>
        <v>0</v>
      </c>
      <c r="M27" s="684">
        <f t="shared" ca="1" si="3"/>
        <v>0</v>
      </c>
      <c r="N27" s="684">
        <f t="shared" si="3"/>
        <v>4736.2524411153008</v>
      </c>
      <c r="O27" s="684">
        <f t="shared" ca="1" si="3"/>
        <v>4773.049498951339</v>
      </c>
      <c r="P27" s="684">
        <f t="shared" si="3"/>
        <v>46.9</v>
      </c>
      <c r="Q27" s="684">
        <f t="shared" si="3"/>
        <v>114.4</v>
      </c>
      <c r="R27" s="684">
        <f t="shared" ca="1" si="3"/>
        <v>209195.73352924665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749.48465356803786</v>
      </c>
      <c r="D40" s="676">
        <f ca="1">tertiair!C20</f>
        <v>0</v>
      </c>
      <c r="E40" s="676">
        <f ca="1">tertiair!D20</f>
        <v>1023.9529164250544</v>
      </c>
      <c r="F40" s="676">
        <f>tertiair!E20</f>
        <v>8.8398244301680027</v>
      </c>
      <c r="G40" s="676">
        <f ca="1">tertiair!F20</f>
        <v>229.48257329696051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2011.7599677202206</v>
      </c>
    </row>
    <row r="41" spans="1:18">
      <c r="A41" s="804" t="s">
        <v>220</v>
      </c>
      <c r="B41" s="811"/>
      <c r="C41" s="676">
        <f ca="1">huishoudens!B12</f>
        <v>2110.6165005480257</v>
      </c>
      <c r="D41" s="676">
        <f ca="1">huishoudens!C12</f>
        <v>0</v>
      </c>
      <c r="E41" s="676">
        <f>huishoudens!D12</f>
        <v>5804.4499846006602</v>
      </c>
      <c r="F41" s="676">
        <f>huishoudens!E12</f>
        <v>178.44727239569931</v>
      </c>
      <c r="G41" s="676">
        <f>huishoudens!F12</f>
        <v>6398.9893382438204</v>
      </c>
      <c r="H41" s="676">
        <f>huishoudens!G12</f>
        <v>0</v>
      </c>
      <c r="I41" s="676">
        <f>huishoudens!H12</f>
        <v>0</v>
      </c>
      <c r="J41" s="676">
        <f>huishoudens!I12</f>
        <v>0</v>
      </c>
      <c r="K41" s="676">
        <f>huishoudens!J12</f>
        <v>153.94019053110569</v>
      </c>
      <c r="L41" s="676">
        <f>huishoudens!K12</f>
        <v>0</v>
      </c>
      <c r="M41" s="676">
        <f>huishoudens!L12</f>
        <v>0</v>
      </c>
      <c r="N41" s="676">
        <f>huishoudens!M12</f>
        <v>0</v>
      </c>
      <c r="O41" s="676">
        <f>huishoudens!N12</f>
        <v>0</v>
      </c>
      <c r="P41" s="676">
        <f>huishoudens!O12</f>
        <v>0</v>
      </c>
      <c r="Q41" s="751">
        <f>huishoudens!P12</f>
        <v>0</v>
      </c>
      <c r="R41" s="832">
        <f t="shared" ca="1" si="4"/>
        <v>14646.443286319311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118.75521707459134</v>
      </c>
      <c r="D43" s="676">
        <f ca="1">industrie!C22</f>
        <v>0</v>
      </c>
      <c r="E43" s="676">
        <f>industrie!D22</f>
        <v>98.232344525164009</v>
      </c>
      <c r="F43" s="676">
        <f>industrie!E22</f>
        <v>1.4555716485011632</v>
      </c>
      <c r="G43" s="676">
        <f>industrie!F22</f>
        <v>106.49060391042455</v>
      </c>
      <c r="H43" s="676">
        <f>industrie!G22</f>
        <v>0</v>
      </c>
      <c r="I43" s="676">
        <f>industrie!H22</f>
        <v>0</v>
      </c>
      <c r="J43" s="676">
        <f>industrie!I22</f>
        <v>0</v>
      </c>
      <c r="K43" s="676">
        <f>industrie!J22</f>
        <v>0.33076735711628924</v>
      </c>
      <c r="L43" s="676">
        <f>industrie!K22</f>
        <v>0</v>
      </c>
      <c r="M43" s="676">
        <f>industrie!L22</f>
        <v>0</v>
      </c>
      <c r="N43" s="676">
        <f>industrie!M22</f>
        <v>0</v>
      </c>
      <c r="O43" s="676">
        <f>industrie!N22</f>
        <v>0</v>
      </c>
      <c r="P43" s="676">
        <f>industrie!O22</f>
        <v>0</v>
      </c>
      <c r="Q43" s="751">
        <f>industrie!P22</f>
        <v>0</v>
      </c>
      <c r="R43" s="831">
        <f t="shared" ca="1" si="4"/>
        <v>325.2645045157974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2978.8563711906545</v>
      </c>
      <c r="D46" s="709">
        <f t="shared" ref="D46:Q46" ca="1" si="5">SUM(D39:D45)</f>
        <v>0</v>
      </c>
      <c r="E46" s="709">
        <f t="shared" ca="1" si="5"/>
        <v>6926.6352455508786</v>
      </c>
      <c r="F46" s="709">
        <f t="shared" si="5"/>
        <v>188.74266847436849</v>
      </c>
      <c r="G46" s="709">
        <f t="shared" ca="1" si="5"/>
        <v>6734.962515451205</v>
      </c>
      <c r="H46" s="709">
        <f t="shared" si="5"/>
        <v>0</v>
      </c>
      <c r="I46" s="709">
        <f t="shared" si="5"/>
        <v>0</v>
      </c>
      <c r="J46" s="709">
        <f t="shared" si="5"/>
        <v>0</v>
      </c>
      <c r="K46" s="709">
        <f t="shared" si="5"/>
        <v>154.27095788822197</v>
      </c>
      <c r="L46" s="709">
        <f t="shared" si="5"/>
        <v>0</v>
      </c>
      <c r="M46" s="709">
        <f t="shared" ca="1" si="5"/>
        <v>0</v>
      </c>
      <c r="N46" s="709">
        <f t="shared" si="5"/>
        <v>0</v>
      </c>
      <c r="O46" s="709">
        <f t="shared" ca="1" si="5"/>
        <v>0</v>
      </c>
      <c r="P46" s="709">
        <f t="shared" si="5"/>
        <v>0</v>
      </c>
      <c r="Q46" s="709">
        <f t="shared" si="5"/>
        <v>0</v>
      </c>
      <c r="R46" s="709">
        <f ca="1">SUM(R39:R45)</f>
        <v>16983.467758555329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0.55339282003459811</v>
      </c>
      <c r="D49" s="676">
        <f ca="1">transport!C58</f>
        <v>0</v>
      </c>
      <c r="E49" s="676">
        <f>transport!D58</f>
        <v>0</v>
      </c>
      <c r="F49" s="676">
        <f>transport!E58</f>
        <v>0</v>
      </c>
      <c r="G49" s="676">
        <f>transport!F58</f>
        <v>0</v>
      </c>
      <c r="H49" s="676">
        <f>transport!G58</f>
        <v>203.5424074657312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204.09580028576579</v>
      </c>
    </row>
    <row r="50" spans="1:18">
      <c r="A50" s="807" t="s">
        <v>302</v>
      </c>
      <c r="B50" s="817"/>
      <c r="C50" s="986">
        <f ca="1">transport!B18</f>
        <v>0.71238083504242344</v>
      </c>
      <c r="D50" s="986">
        <f>transport!C18</f>
        <v>0</v>
      </c>
      <c r="E50" s="986">
        <f>transport!D18</f>
        <v>1.1487701108718171</v>
      </c>
      <c r="F50" s="986">
        <f>transport!E18</f>
        <v>95.22357644482517</v>
      </c>
      <c r="G50" s="986">
        <f>transport!F18</f>
        <v>0</v>
      </c>
      <c r="H50" s="986">
        <f>transport!G18</f>
        <v>24303.570244678591</v>
      </c>
      <c r="I50" s="986">
        <f>transport!H18</f>
        <v>3546.249501560987</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27946.904473630315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1.2657736550770216</v>
      </c>
      <c r="D52" s="709">
        <f t="shared" ref="D52:Q52" ca="1" si="6">SUM(D48:D51)</f>
        <v>0</v>
      </c>
      <c r="E52" s="709">
        <f t="shared" si="6"/>
        <v>1.1487701108718171</v>
      </c>
      <c r="F52" s="709">
        <f t="shared" si="6"/>
        <v>95.22357644482517</v>
      </c>
      <c r="G52" s="709">
        <f t="shared" si="6"/>
        <v>0</v>
      </c>
      <c r="H52" s="709">
        <f t="shared" si="6"/>
        <v>24507.112652144322</v>
      </c>
      <c r="I52" s="709">
        <f t="shared" si="6"/>
        <v>3546.249501560987</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28151.000273916081</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80.410316279804505</v>
      </c>
      <c r="D54" s="986">
        <f ca="1">+landbouw!C12</f>
        <v>0</v>
      </c>
      <c r="E54" s="986">
        <f>+landbouw!D12</f>
        <v>46.091748856581724</v>
      </c>
      <c r="F54" s="986">
        <f>+landbouw!E12</f>
        <v>1.1876574884593178</v>
      </c>
      <c r="G54" s="986">
        <f>+landbouw!F12</f>
        <v>483.90049462206537</v>
      </c>
      <c r="H54" s="986">
        <f>+landbouw!G12</f>
        <v>0</v>
      </c>
      <c r="I54" s="986">
        <f>+landbouw!H12</f>
        <v>0</v>
      </c>
      <c r="J54" s="986">
        <f>+landbouw!I12</f>
        <v>0</v>
      </c>
      <c r="K54" s="986">
        <f>+landbouw!J12</f>
        <v>24.320561663417536</v>
      </c>
      <c r="L54" s="986">
        <f>+landbouw!K12</f>
        <v>0</v>
      </c>
      <c r="M54" s="986">
        <f>+landbouw!L12</f>
        <v>0</v>
      </c>
      <c r="N54" s="986">
        <f>+landbouw!M12</f>
        <v>0</v>
      </c>
      <c r="O54" s="986">
        <f>+landbouw!N12</f>
        <v>0</v>
      </c>
      <c r="P54" s="986">
        <f>+landbouw!O12</f>
        <v>0</v>
      </c>
      <c r="Q54" s="987">
        <f>+landbouw!P12</f>
        <v>0</v>
      </c>
      <c r="R54" s="708">
        <f ca="1">SUM(C54:Q54)</f>
        <v>635.91077891032842</v>
      </c>
    </row>
    <row r="55" spans="1:18" ht="15" thickBot="1">
      <c r="A55" s="807" t="s">
        <v>879</v>
      </c>
      <c r="B55" s="817"/>
      <c r="C55" s="986">
        <f ca="1">C25*'EF ele_warmte'!B12</f>
        <v>53.308677103603898</v>
      </c>
      <c r="D55" s="986"/>
      <c r="E55" s="986">
        <f>E25*EF_CO2_aardgas</f>
        <v>130.32754058759932</v>
      </c>
      <c r="F55" s="986"/>
      <c r="G55" s="986"/>
      <c r="H55" s="986"/>
      <c r="I55" s="986"/>
      <c r="J55" s="986"/>
      <c r="K55" s="986"/>
      <c r="L55" s="986"/>
      <c r="M55" s="986"/>
      <c r="N55" s="986"/>
      <c r="O55" s="986"/>
      <c r="P55" s="986"/>
      <c r="Q55" s="987"/>
      <c r="R55" s="708">
        <f ca="1">SUM(C55:Q55)</f>
        <v>183.63621769120323</v>
      </c>
    </row>
    <row r="56" spans="1:18" ht="15.75" thickBot="1">
      <c r="A56" s="805" t="s">
        <v>880</v>
      </c>
      <c r="B56" s="818"/>
      <c r="C56" s="709">
        <f ca="1">SUM(C54:C55)</f>
        <v>133.71899338340842</v>
      </c>
      <c r="D56" s="709">
        <f t="shared" ref="D56:Q56" ca="1" si="7">SUM(D54:D55)</f>
        <v>0</v>
      </c>
      <c r="E56" s="709">
        <f t="shared" si="7"/>
        <v>176.41928944418103</v>
      </c>
      <c r="F56" s="709">
        <f t="shared" si="7"/>
        <v>1.1876574884593178</v>
      </c>
      <c r="G56" s="709">
        <f t="shared" si="7"/>
        <v>483.90049462206537</v>
      </c>
      <c r="H56" s="709">
        <f t="shared" si="7"/>
        <v>0</v>
      </c>
      <c r="I56" s="709">
        <f t="shared" si="7"/>
        <v>0</v>
      </c>
      <c r="J56" s="709">
        <f t="shared" si="7"/>
        <v>0</v>
      </c>
      <c r="K56" s="709">
        <f t="shared" si="7"/>
        <v>24.320561663417536</v>
      </c>
      <c r="L56" s="709">
        <f t="shared" si="7"/>
        <v>0</v>
      </c>
      <c r="M56" s="709">
        <f t="shared" si="7"/>
        <v>0</v>
      </c>
      <c r="N56" s="709">
        <f t="shared" si="7"/>
        <v>0</v>
      </c>
      <c r="O56" s="709">
        <f t="shared" si="7"/>
        <v>0</v>
      </c>
      <c r="P56" s="709">
        <f t="shared" si="7"/>
        <v>0</v>
      </c>
      <c r="Q56" s="710">
        <f t="shared" si="7"/>
        <v>0</v>
      </c>
      <c r="R56" s="711">
        <f ca="1">SUM(R54:R55)</f>
        <v>819.54699660153165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3113.8411382291397</v>
      </c>
      <c r="D61" s="717">
        <f t="shared" ref="D61:Q61" ca="1" si="8">D46+D52+D56</f>
        <v>0</v>
      </c>
      <c r="E61" s="717">
        <f t="shared" ca="1" si="8"/>
        <v>7104.2033051059316</v>
      </c>
      <c r="F61" s="717">
        <f t="shared" si="8"/>
        <v>285.15390240765294</v>
      </c>
      <c r="G61" s="717">
        <f t="shared" ca="1" si="8"/>
        <v>7218.8630100732707</v>
      </c>
      <c r="H61" s="717">
        <f t="shared" si="8"/>
        <v>24507.112652144322</v>
      </c>
      <c r="I61" s="717">
        <f t="shared" si="8"/>
        <v>3546.249501560987</v>
      </c>
      <c r="J61" s="717">
        <f t="shared" si="8"/>
        <v>0</v>
      </c>
      <c r="K61" s="717">
        <f t="shared" si="8"/>
        <v>178.59151955163952</v>
      </c>
      <c r="L61" s="717">
        <f t="shared" si="8"/>
        <v>0</v>
      </c>
      <c r="M61" s="717">
        <f t="shared" ca="1" si="8"/>
        <v>0</v>
      </c>
      <c r="N61" s="717">
        <f t="shared" si="8"/>
        <v>0</v>
      </c>
      <c r="O61" s="717">
        <f t="shared" ca="1" si="8"/>
        <v>0</v>
      </c>
      <c r="P61" s="717">
        <f t="shared" si="8"/>
        <v>0</v>
      </c>
      <c r="Q61" s="717">
        <f t="shared" si="8"/>
        <v>0</v>
      </c>
      <c r="R61" s="717">
        <f ca="1">R46+R52+R56</f>
        <v>45954.015029072943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0.14478654611357039</v>
      </c>
      <c r="D63" s="761">
        <f t="shared" ca="1" si="9"/>
        <v>0</v>
      </c>
      <c r="E63" s="988">
        <f t="shared" ca="1" si="9"/>
        <v>0.20200000000000004</v>
      </c>
      <c r="F63" s="761">
        <f t="shared" si="9"/>
        <v>0.22699999999999995</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1800.6470832254699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5616</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6607.0588235294117</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7416.6470832254699</v>
      </c>
      <c r="C78" s="732">
        <f>SUM(C72:C77)</f>
        <v>0</v>
      </c>
      <c r="D78" s="733">
        <f t="shared" ref="D78:H78" si="10">SUM(D76:D77)</f>
        <v>0</v>
      </c>
      <c r="E78" s="733">
        <f t="shared" si="10"/>
        <v>0</v>
      </c>
      <c r="F78" s="733">
        <f t="shared" si="10"/>
        <v>0</v>
      </c>
      <c r="G78" s="733">
        <f t="shared" si="10"/>
        <v>0</v>
      </c>
      <c r="H78" s="733">
        <f t="shared" si="10"/>
        <v>0</v>
      </c>
      <c r="I78" s="733">
        <f>SUM(I76:I77)</f>
        <v>0</v>
      </c>
      <c r="J78" s="733">
        <f>SUM(J76:J77)</f>
        <v>6607.0588235294117</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8022.8571428571431</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9438.6554621848754</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8022.8571428571431</v>
      </c>
      <c r="C90" s="732">
        <f>SUM(C87:C89)</f>
        <v>0</v>
      </c>
      <c r="D90" s="732">
        <f t="shared" ref="D90:H90" si="12">SUM(D87:D89)</f>
        <v>0</v>
      </c>
      <c r="E90" s="732">
        <f t="shared" si="12"/>
        <v>0</v>
      </c>
      <c r="F90" s="732">
        <f t="shared" si="12"/>
        <v>0</v>
      </c>
      <c r="G90" s="732">
        <f t="shared" si="12"/>
        <v>0</v>
      </c>
      <c r="H90" s="732">
        <f t="shared" si="12"/>
        <v>0</v>
      </c>
      <c r="I90" s="732">
        <f>SUM(I87:I89)</f>
        <v>0</v>
      </c>
      <c r="J90" s="732">
        <f>SUM(J87:J89)</f>
        <v>9438.6554621848754</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14577.435246590247</v>
      </c>
      <c r="C4" s="449">
        <f>huishoudens!C8</f>
        <v>0</v>
      </c>
      <c r="D4" s="449">
        <f>huishoudens!D8</f>
        <v>28734.900913864651</v>
      </c>
      <c r="E4" s="449">
        <f>huishoudens!E8</f>
        <v>786.11133213964456</v>
      </c>
      <c r="F4" s="449">
        <f>huishoudens!F8</f>
        <v>23966.252203160373</v>
      </c>
      <c r="G4" s="449">
        <f>huishoudens!G8</f>
        <v>0</v>
      </c>
      <c r="H4" s="449">
        <f>huishoudens!H8</f>
        <v>0</v>
      </c>
      <c r="I4" s="449">
        <f>huishoudens!I8</f>
        <v>0</v>
      </c>
      <c r="J4" s="449">
        <f>huishoudens!J8</f>
        <v>434.85929528560928</v>
      </c>
      <c r="K4" s="449">
        <f>huishoudens!K8</f>
        <v>0</v>
      </c>
      <c r="L4" s="449">
        <f>huishoudens!L8</f>
        <v>0</v>
      </c>
      <c r="M4" s="449">
        <f>huishoudens!M8</f>
        <v>0</v>
      </c>
      <c r="N4" s="449">
        <f>huishoudens!N8</f>
        <v>4393.8644096523785</v>
      </c>
      <c r="O4" s="449">
        <f>huishoudens!O8</f>
        <v>46.9</v>
      </c>
      <c r="P4" s="450">
        <f>huishoudens!P8</f>
        <v>95.333333333333343</v>
      </c>
      <c r="Q4" s="451">
        <f>SUM(B4:P4)</f>
        <v>73035.656734026226</v>
      </c>
    </row>
    <row r="5" spans="1:17">
      <c r="A5" s="448" t="s">
        <v>155</v>
      </c>
      <c r="B5" s="449">
        <f ca="1">tertiair!B16</f>
        <v>4694.2089540154984</v>
      </c>
      <c r="C5" s="449">
        <f ca="1">tertiair!C16</f>
        <v>0</v>
      </c>
      <c r="D5" s="449">
        <f ca="1">tertiair!D16</f>
        <v>5069.0738436883876</v>
      </c>
      <c r="E5" s="449">
        <f>tertiair!E16</f>
        <v>38.94195784214979</v>
      </c>
      <c r="F5" s="449">
        <f ca="1">tertiair!F16</f>
        <v>859.48529324704305</v>
      </c>
      <c r="G5" s="449">
        <f>tertiair!G16</f>
        <v>0</v>
      </c>
      <c r="H5" s="449">
        <f>tertiair!H16</f>
        <v>0</v>
      </c>
      <c r="I5" s="449">
        <f>tertiair!I16</f>
        <v>0</v>
      </c>
      <c r="J5" s="449">
        <f>tertiair!J16</f>
        <v>0</v>
      </c>
      <c r="K5" s="449">
        <f>tertiair!K16</f>
        <v>0</v>
      </c>
      <c r="L5" s="449">
        <f ca="1">tertiair!L16</f>
        <v>0</v>
      </c>
      <c r="M5" s="449">
        <f>tertiair!M16</f>
        <v>0</v>
      </c>
      <c r="N5" s="449">
        <f ca="1">tertiair!N16</f>
        <v>334.91155006557705</v>
      </c>
      <c r="O5" s="449">
        <f>tertiair!O16</f>
        <v>0</v>
      </c>
      <c r="P5" s="450">
        <f>tertiair!P16</f>
        <v>19.066666666666666</v>
      </c>
      <c r="Q5" s="448">
        <f t="shared" ref="Q5:Q14" ca="1" si="0">SUM(B5:P5)</f>
        <v>11015.688265525325</v>
      </c>
    </row>
    <row r="6" spans="1:17">
      <c r="A6" s="448" t="s">
        <v>193</v>
      </c>
      <c r="B6" s="449">
        <f>'openbare verlichting'!B8</f>
        <v>482.27100000000002</v>
      </c>
      <c r="C6" s="449"/>
      <c r="D6" s="449"/>
      <c r="E6" s="449"/>
      <c r="F6" s="449"/>
      <c r="G6" s="449"/>
      <c r="H6" s="449"/>
      <c r="I6" s="449"/>
      <c r="J6" s="449"/>
      <c r="K6" s="449"/>
      <c r="L6" s="449"/>
      <c r="M6" s="449"/>
      <c r="N6" s="449"/>
      <c r="O6" s="449"/>
      <c r="P6" s="450"/>
      <c r="Q6" s="448">
        <f t="shared" si="0"/>
        <v>482.27100000000002</v>
      </c>
    </row>
    <row r="7" spans="1:17">
      <c r="A7" s="448" t="s">
        <v>111</v>
      </c>
      <c r="B7" s="449">
        <f>landbouw!B8</f>
        <v>555.37146536205603</v>
      </c>
      <c r="C7" s="449">
        <f>landbouw!C8</f>
        <v>8022.8571428571431</v>
      </c>
      <c r="D7" s="449">
        <f>landbouw!D8</f>
        <v>228.17697453753328</v>
      </c>
      <c r="E7" s="449">
        <f>landbouw!E8</f>
        <v>5.2319713147987565</v>
      </c>
      <c r="F7" s="449">
        <f>landbouw!F8</f>
        <v>1812.3614030788965</v>
      </c>
      <c r="G7" s="449">
        <f>landbouw!G8</f>
        <v>0</v>
      </c>
      <c r="H7" s="449">
        <f>landbouw!H8</f>
        <v>0</v>
      </c>
      <c r="I7" s="449">
        <f>landbouw!I8</f>
        <v>0</v>
      </c>
      <c r="J7" s="449">
        <f>landbouw!J8</f>
        <v>68.70215159157496</v>
      </c>
      <c r="K7" s="449">
        <f>landbouw!K8</f>
        <v>0</v>
      </c>
      <c r="L7" s="449">
        <f>landbouw!L8</f>
        <v>0</v>
      </c>
      <c r="M7" s="449">
        <f>landbouw!M8</f>
        <v>0</v>
      </c>
      <c r="N7" s="449">
        <f>landbouw!N8</f>
        <v>0</v>
      </c>
      <c r="O7" s="449">
        <f>landbouw!O8</f>
        <v>0</v>
      </c>
      <c r="P7" s="450">
        <f>landbouw!P8</f>
        <v>0</v>
      </c>
      <c r="Q7" s="448">
        <f t="shared" si="0"/>
        <v>10692.701108742001</v>
      </c>
    </row>
    <row r="8" spans="1:17">
      <c r="A8" s="448" t="s">
        <v>671</v>
      </c>
      <c r="B8" s="449">
        <f>industrie!B18</f>
        <v>820.20892315118749</v>
      </c>
      <c r="C8" s="449">
        <f>industrie!C18</f>
        <v>0</v>
      </c>
      <c r="D8" s="449">
        <f>industrie!D18</f>
        <v>486.29873527308911</v>
      </c>
      <c r="E8" s="449">
        <f>industrie!E18</f>
        <v>6.4122099052914674</v>
      </c>
      <c r="F8" s="449">
        <f>industrie!F18</f>
        <v>398.84121314765747</v>
      </c>
      <c r="G8" s="449">
        <f>industrie!G18</f>
        <v>0</v>
      </c>
      <c r="H8" s="449">
        <f>industrie!H18</f>
        <v>0</v>
      </c>
      <c r="I8" s="449">
        <f>industrie!I18</f>
        <v>0</v>
      </c>
      <c r="J8" s="449">
        <f>industrie!J18</f>
        <v>0.93437106530025216</v>
      </c>
      <c r="K8" s="449">
        <f>industrie!K18</f>
        <v>0</v>
      </c>
      <c r="L8" s="449">
        <f>industrie!L18</f>
        <v>0</v>
      </c>
      <c r="M8" s="449">
        <f>industrie!M18</f>
        <v>0</v>
      </c>
      <c r="N8" s="449">
        <f>industrie!N18</f>
        <v>44.273539233383687</v>
      </c>
      <c r="O8" s="449">
        <f>industrie!O18</f>
        <v>0</v>
      </c>
      <c r="P8" s="450">
        <f>industrie!P18</f>
        <v>0</v>
      </c>
      <c r="Q8" s="448">
        <f t="shared" si="0"/>
        <v>1756.9689917759094</v>
      </c>
    </row>
    <row r="9" spans="1:17" s="454" customFormat="1">
      <c r="A9" s="452" t="s">
        <v>568</v>
      </c>
      <c r="B9" s="453">
        <f>transport!B14</f>
        <v>4.9202143028098249</v>
      </c>
      <c r="C9" s="453">
        <f>transport!C14</f>
        <v>0</v>
      </c>
      <c r="D9" s="453">
        <f>transport!D14</f>
        <v>5.6869807468901836</v>
      </c>
      <c r="E9" s="453">
        <f>transport!E14</f>
        <v>419.48712090231351</v>
      </c>
      <c r="F9" s="453">
        <f>transport!F14</f>
        <v>0</v>
      </c>
      <c r="G9" s="453">
        <f>transport!G14</f>
        <v>91024.607657972243</v>
      </c>
      <c r="H9" s="453">
        <f>transport!H14</f>
        <v>14241.965869722839</v>
      </c>
      <c r="I9" s="453">
        <f>transport!I14</f>
        <v>0</v>
      </c>
      <c r="J9" s="453">
        <f>transport!J14</f>
        <v>0</v>
      </c>
      <c r="K9" s="453">
        <f>transport!K14</f>
        <v>0</v>
      </c>
      <c r="L9" s="453">
        <f>transport!L14</f>
        <v>0</v>
      </c>
      <c r="M9" s="453">
        <f>transport!M14</f>
        <v>4702.5582178001232</v>
      </c>
      <c r="N9" s="453">
        <f>transport!N14</f>
        <v>0</v>
      </c>
      <c r="O9" s="453">
        <f>transport!O14</f>
        <v>0</v>
      </c>
      <c r="P9" s="453">
        <f>transport!P14</f>
        <v>0</v>
      </c>
      <c r="Q9" s="452">
        <f>SUM(B9:P9)</f>
        <v>110399.22606144722</v>
      </c>
    </row>
    <row r="10" spans="1:17">
      <c r="A10" s="448" t="s">
        <v>558</v>
      </c>
      <c r="B10" s="449">
        <f>transport!B54</f>
        <v>3.8221287466897467</v>
      </c>
      <c r="C10" s="449">
        <f>transport!C54</f>
        <v>0</v>
      </c>
      <c r="D10" s="449">
        <f>transport!D54</f>
        <v>0</v>
      </c>
      <c r="E10" s="449">
        <f>transport!E54</f>
        <v>0</v>
      </c>
      <c r="F10" s="449">
        <f>transport!F54</f>
        <v>0</v>
      </c>
      <c r="G10" s="449">
        <f>transport!G54</f>
        <v>762.33111410386209</v>
      </c>
      <c r="H10" s="449">
        <f>transport!H54</f>
        <v>0</v>
      </c>
      <c r="I10" s="449">
        <f>transport!I54</f>
        <v>0</v>
      </c>
      <c r="J10" s="449">
        <f>transport!J54</f>
        <v>0</v>
      </c>
      <c r="K10" s="449">
        <f>transport!K54</f>
        <v>0</v>
      </c>
      <c r="L10" s="449">
        <f>transport!L54</f>
        <v>0</v>
      </c>
      <c r="M10" s="449">
        <f>transport!M54</f>
        <v>33.694223315177737</v>
      </c>
      <c r="N10" s="449">
        <f>transport!N54</f>
        <v>0</v>
      </c>
      <c r="O10" s="449">
        <f>transport!O54</f>
        <v>0</v>
      </c>
      <c r="P10" s="450">
        <f>transport!P54</f>
        <v>0</v>
      </c>
      <c r="Q10" s="448">
        <f t="shared" si="0"/>
        <v>799.84746616572954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368.18805707119105</v>
      </c>
      <c r="C14" s="456"/>
      <c r="D14" s="456">
        <f>'SEAP template'!E25</f>
        <v>645.18584449306593</v>
      </c>
      <c r="E14" s="456"/>
      <c r="F14" s="456"/>
      <c r="G14" s="456"/>
      <c r="H14" s="456"/>
      <c r="I14" s="456"/>
      <c r="J14" s="456"/>
      <c r="K14" s="456"/>
      <c r="L14" s="456"/>
      <c r="M14" s="456"/>
      <c r="N14" s="456"/>
      <c r="O14" s="456"/>
      <c r="P14" s="457"/>
      <c r="Q14" s="448">
        <f t="shared" si="0"/>
        <v>1013.373901564257</v>
      </c>
    </row>
    <row r="15" spans="1:17" s="461" customFormat="1">
      <c r="A15" s="458" t="s">
        <v>562</v>
      </c>
      <c r="B15" s="459">
        <f ca="1">SUM(B4:B14)</f>
        <v>21506.42598923968</v>
      </c>
      <c r="C15" s="459">
        <f t="shared" ref="C15:Q15" ca="1" si="1">SUM(C4:C14)</f>
        <v>8022.8571428571431</v>
      </c>
      <c r="D15" s="459">
        <f t="shared" ca="1" si="1"/>
        <v>35169.323292603622</v>
      </c>
      <c r="E15" s="459">
        <f t="shared" si="1"/>
        <v>1256.1845921041981</v>
      </c>
      <c r="F15" s="459">
        <f t="shared" ca="1" si="1"/>
        <v>27036.940112633969</v>
      </c>
      <c r="G15" s="459">
        <f t="shared" si="1"/>
        <v>91786.938772076101</v>
      </c>
      <c r="H15" s="459">
        <f t="shared" si="1"/>
        <v>14241.965869722839</v>
      </c>
      <c r="I15" s="459">
        <f t="shared" si="1"/>
        <v>0</v>
      </c>
      <c r="J15" s="459">
        <f t="shared" si="1"/>
        <v>504.49581794248451</v>
      </c>
      <c r="K15" s="459">
        <f t="shared" si="1"/>
        <v>0</v>
      </c>
      <c r="L15" s="459">
        <f t="shared" ca="1" si="1"/>
        <v>0</v>
      </c>
      <c r="M15" s="459">
        <f t="shared" si="1"/>
        <v>4736.2524411153008</v>
      </c>
      <c r="N15" s="459">
        <f t="shared" ca="1" si="1"/>
        <v>4773.049498951339</v>
      </c>
      <c r="O15" s="459">
        <f t="shared" si="1"/>
        <v>46.9</v>
      </c>
      <c r="P15" s="459">
        <f t="shared" si="1"/>
        <v>114.4</v>
      </c>
      <c r="Q15" s="459">
        <f t="shared" ca="1" si="1"/>
        <v>209195.73352924665</v>
      </c>
    </row>
    <row r="17" spans="1:17">
      <c r="A17" s="462" t="s">
        <v>563</v>
      </c>
      <c r="B17" s="766">
        <f ca="1">huishoudens!B10</f>
        <v>0.14478654611357042</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2110.6165005480257</v>
      </c>
      <c r="C22" s="449">
        <f t="shared" ref="C22:C32" ca="1" si="3">C4*$C$17</f>
        <v>0</v>
      </c>
      <c r="D22" s="449">
        <f t="shared" ref="D22:D32" si="4">D4*$D$17</f>
        <v>5804.4499846006602</v>
      </c>
      <c r="E22" s="449">
        <f t="shared" ref="E22:E32" si="5">E4*$E$17</f>
        <v>178.44727239569931</v>
      </c>
      <c r="F22" s="449">
        <f t="shared" ref="F22:F32" si="6">F4*$F$17</f>
        <v>6398.9893382438204</v>
      </c>
      <c r="G22" s="449">
        <f t="shared" ref="G22:G32" si="7">G4*$G$17</f>
        <v>0</v>
      </c>
      <c r="H22" s="449">
        <f t="shared" ref="H22:H32" si="8">H4*$H$17</f>
        <v>0</v>
      </c>
      <c r="I22" s="449">
        <f t="shared" ref="I22:I32" si="9">I4*$I$17</f>
        <v>0</v>
      </c>
      <c r="J22" s="449">
        <f t="shared" ref="J22:J32" si="10">J4*$J$17</f>
        <v>153.94019053110569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14646.443286319311</v>
      </c>
    </row>
    <row r="23" spans="1:17">
      <c r="A23" s="448" t="s">
        <v>155</v>
      </c>
      <c r="B23" s="449">
        <f t="shared" ca="1" si="2"/>
        <v>679.65830118730014</v>
      </c>
      <c r="C23" s="449">
        <f t="shared" ca="1" si="3"/>
        <v>0</v>
      </c>
      <c r="D23" s="449">
        <f t="shared" ca="1" si="4"/>
        <v>1023.9529164250544</v>
      </c>
      <c r="E23" s="449">
        <f t="shared" si="5"/>
        <v>8.8398244301680027</v>
      </c>
      <c r="F23" s="449">
        <f t="shared" ca="1" si="6"/>
        <v>229.48257329696051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1941.9336153394829</v>
      </c>
    </row>
    <row r="24" spans="1:17">
      <c r="A24" s="448" t="s">
        <v>193</v>
      </c>
      <c r="B24" s="449">
        <f t="shared" ca="1" si="2"/>
        <v>69.826352380737717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69.826352380737717</v>
      </c>
    </row>
    <row r="25" spans="1:17">
      <c r="A25" s="448" t="s">
        <v>111</v>
      </c>
      <c r="B25" s="449">
        <f t="shared" ca="1" si="2"/>
        <v>80.410316279804505</v>
      </c>
      <c r="C25" s="449">
        <f t="shared" ca="1" si="3"/>
        <v>0</v>
      </c>
      <c r="D25" s="449">
        <f t="shared" si="4"/>
        <v>46.091748856581724</v>
      </c>
      <c r="E25" s="449">
        <f t="shared" si="5"/>
        <v>1.1876574884593178</v>
      </c>
      <c r="F25" s="449">
        <f t="shared" si="6"/>
        <v>483.90049462206537</v>
      </c>
      <c r="G25" s="449">
        <f t="shared" si="7"/>
        <v>0</v>
      </c>
      <c r="H25" s="449">
        <f t="shared" si="8"/>
        <v>0</v>
      </c>
      <c r="I25" s="449">
        <f t="shared" si="9"/>
        <v>0</v>
      </c>
      <c r="J25" s="449">
        <f t="shared" si="10"/>
        <v>24.320561663417536</v>
      </c>
      <c r="K25" s="449">
        <f t="shared" si="11"/>
        <v>0</v>
      </c>
      <c r="L25" s="449">
        <f t="shared" si="12"/>
        <v>0</v>
      </c>
      <c r="M25" s="449">
        <f t="shared" si="13"/>
        <v>0</v>
      </c>
      <c r="N25" s="449">
        <f t="shared" si="14"/>
        <v>0</v>
      </c>
      <c r="O25" s="449">
        <f t="shared" si="15"/>
        <v>0</v>
      </c>
      <c r="P25" s="450">
        <f t="shared" si="16"/>
        <v>0</v>
      </c>
      <c r="Q25" s="448">
        <f t="shared" ca="1" si="17"/>
        <v>635.91077891032842</v>
      </c>
    </row>
    <row r="26" spans="1:17">
      <c r="A26" s="448" t="s">
        <v>671</v>
      </c>
      <c r="B26" s="449">
        <f t="shared" ca="1" si="2"/>
        <v>118.75521707459134</v>
      </c>
      <c r="C26" s="449">
        <f t="shared" ca="1" si="3"/>
        <v>0</v>
      </c>
      <c r="D26" s="449">
        <f t="shared" si="4"/>
        <v>98.232344525164009</v>
      </c>
      <c r="E26" s="449">
        <f t="shared" si="5"/>
        <v>1.4555716485011632</v>
      </c>
      <c r="F26" s="449">
        <f t="shared" si="6"/>
        <v>106.49060391042455</v>
      </c>
      <c r="G26" s="449">
        <f t="shared" si="7"/>
        <v>0</v>
      </c>
      <c r="H26" s="449">
        <f t="shared" si="8"/>
        <v>0</v>
      </c>
      <c r="I26" s="449">
        <f t="shared" si="9"/>
        <v>0</v>
      </c>
      <c r="J26" s="449">
        <f t="shared" si="10"/>
        <v>0.33076735711628924</v>
      </c>
      <c r="K26" s="449">
        <f t="shared" si="11"/>
        <v>0</v>
      </c>
      <c r="L26" s="449">
        <f t="shared" si="12"/>
        <v>0</v>
      </c>
      <c r="M26" s="449">
        <f t="shared" si="13"/>
        <v>0</v>
      </c>
      <c r="N26" s="449">
        <f t="shared" si="14"/>
        <v>0</v>
      </c>
      <c r="O26" s="449">
        <f t="shared" si="15"/>
        <v>0</v>
      </c>
      <c r="P26" s="450">
        <f t="shared" si="16"/>
        <v>0</v>
      </c>
      <c r="Q26" s="448">
        <f t="shared" ca="1" si="17"/>
        <v>325.2645045157974</v>
      </c>
    </row>
    <row r="27" spans="1:17" s="454" customFormat="1">
      <c r="A27" s="452" t="s">
        <v>568</v>
      </c>
      <c r="B27" s="760">
        <f t="shared" ca="1" si="2"/>
        <v>0.71238083504242344</v>
      </c>
      <c r="C27" s="453">
        <f t="shared" ca="1" si="3"/>
        <v>0</v>
      </c>
      <c r="D27" s="453">
        <f t="shared" si="4"/>
        <v>1.1487701108718171</v>
      </c>
      <c r="E27" s="453">
        <f t="shared" si="5"/>
        <v>95.22357644482517</v>
      </c>
      <c r="F27" s="453">
        <f t="shared" si="6"/>
        <v>0</v>
      </c>
      <c r="G27" s="453">
        <f t="shared" si="7"/>
        <v>24303.570244678591</v>
      </c>
      <c r="H27" s="453">
        <f t="shared" si="8"/>
        <v>3546.249501560987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27946.904473630315</v>
      </c>
    </row>
    <row r="28" spans="1:17">
      <c r="A28" s="448" t="s">
        <v>558</v>
      </c>
      <c r="B28" s="449">
        <f t="shared" ca="1" si="2"/>
        <v>0.55339282003459811</v>
      </c>
      <c r="C28" s="449">
        <f t="shared" ca="1" si="3"/>
        <v>0</v>
      </c>
      <c r="D28" s="449">
        <f t="shared" si="4"/>
        <v>0</v>
      </c>
      <c r="E28" s="449">
        <f t="shared" si="5"/>
        <v>0</v>
      </c>
      <c r="F28" s="449">
        <f t="shared" si="6"/>
        <v>0</v>
      </c>
      <c r="G28" s="449">
        <f t="shared" si="7"/>
        <v>203.5424074657312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204.09580028576579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53.308677103603898</v>
      </c>
      <c r="C32" s="449">
        <f t="shared" ca="1" si="3"/>
        <v>0</v>
      </c>
      <c r="D32" s="449">
        <f t="shared" si="4"/>
        <v>130.32754058759932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183.63621769120323</v>
      </c>
    </row>
    <row r="33" spans="1:17" s="461" customFormat="1">
      <c r="A33" s="458" t="s">
        <v>562</v>
      </c>
      <c r="B33" s="459">
        <f ca="1">SUM(B22:B32)</f>
        <v>3113.8411382291406</v>
      </c>
      <c r="C33" s="459">
        <f t="shared" ref="C33:Q33" ca="1" si="18">SUM(C22:C32)</f>
        <v>0</v>
      </c>
      <c r="D33" s="459">
        <f t="shared" ca="1" si="18"/>
        <v>7104.2033051059316</v>
      </c>
      <c r="E33" s="459">
        <f t="shared" si="18"/>
        <v>285.15390240765294</v>
      </c>
      <c r="F33" s="459">
        <f t="shared" ca="1" si="18"/>
        <v>7218.8630100732707</v>
      </c>
      <c r="G33" s="459">
        <f t="shared" si="18"/>
        <v>24507.112652144322</v>
      </c>
      <c r="H33" s="459">
        <f t="shared" si="18"/>
        <v>3546.249501560987</v>
      </c>
      <c r="I33" s="459">
        <f t="shared" si="18"/>
        <v>0</v>
      </c>
      <c r="J33" s="459">
        <f t="shared" si="18"/>
        <v>178.59151955163949</v>
      </c>
      <c r="K33" s="459">
        <f t="shared" si="18"/>
        <v>0</v>
      </c>
      <c r="L33" s="459">
        <f t="shared" ca="1" si="18"/>
        <v>0</v>
      </c>
      <c r="M33" s="459">
        <f t="shared" si="18"/>
        <v>0</v>
      </c>
      <c r="N33" s="459">
        <f t="shared" ca="1" si="18"/>
        <v>0</v>
      </c>
      <c r="O33" s="459">
        <f t="shared" si="18"/>
        <v>0</v>
      </c>
      <c r="P33" s="459">
        <f t="shared" si="18"/>
        <v>0</v>
      </c>
      <c r="Q33" s="459">
        <f t="shared" ca="1" si="18"/>
        <v>45954.015029072943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1800.6470832254699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5616</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6607.0588235294117</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7416.6470832254699</v>
      </c>
      <c r="C10" s="1019">
        <f>SUM(C4:C9)</f>
        <v>0</v>
      </c>
      <c r="D10" s="1019">
        <f t="shared" ref="D10:H10" si="0">SUM(D8:D9)</f>
        <v>0</v>
      </c>
      <c r="E10" s="1019">
        <f t="shared" si="0"/>
        <v>0</v>
      </c>
      <c r="F10" s="1019">
        <f t="shared" si="0"/>
        <v>0</v>
      </c>
      <c r="G10" s="1019">
        <f t="shared" si="0"/>
        <v>0</v>
      </c>
      <c r="H10" s="1019">
        <f t="shared" si="0"/>
        <v>0</v>
      </c>
      <c r="I10" s="1019">
        <f>SUM(I8:I9)</f>
        <v>0</v>
      </c>
      <c r="J10" s="1019">
        <f>SUM(J8:J9)</f>
        <v>6607.0588235294117</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0.14478654611357042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8022.8571428571431</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9438.6554621848754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8022.8571428571431</v>
      </c>
      <c r="C20" s="1019">
        <f>SUM(C17:C19)</f>
        <v>0</v>
      </c>
      <c r="D20" s="1019">
        <f t="shared" ref="D20:H20" si="2">SUM(D17:D19)</f>
        <v>0</v>
      </c>
      <c r="E20" s="1019">
        <f t="shared" si="2"/>
        <v>0</v>
      </c>
      <c r="F20" s="1019">
        <f t="shared" si="2"/>
        <v>0</v>
      </c>
      <c r="G20" s="1019">
        <f t="shared" si="2"/>
        <v>0</v>
      </c>
      <c r="H20" s="1019">
        <f t="shared" si="2"/>
        <v>0</v>
      </c>
      <c r="I20" s="1019">
        <f>SUM(I17:I19)</f>
        <v>0</v>
      </c>
      <c r="J20" s="1019">
        <f>SUM(J17:J19)</f>
        <v>9438.6554621848754</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0.14478654611357042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0.14478654611357042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0.14478654611357042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2968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1853</v>
      </c>
      <c r="C14" s="327"/>
      <c r="D14" s="327"/>
      <c r="E14" s="327"/>
      <c r="F14" s="327"/>
    </row>
    <row r="15" spans="1:6">
      <c r="A15" s="1295" t="s">
        <v>183</v>
      </c>
      <c r="B15" s="1296">
        <v>523</v>
      </c>
      <c r="C15" s="327"/>
      <c r="D15" s="327"/>
      <c r="E15" s="327"/>
      <c r="F15" s="327"/>
    </row>
    <row r="16" spans="1:6">
      <c r="A16" s="1295" t="s">
        <v>6</v>
      </c>
      <c r="B16" s="1296">
        <v>143</v>
      </c>
      <c r="C16" s="327"/>
      <c r="D16" s="327"/>
      <c r="E16" s="327"/>
      <c r="F16" s="327"/>
    </row>
    <row r="17" spans="1:6">
      <c r="A17" s="1295" t="s">
        <v>7</v>
      </c>
      <c r="B17" s="1296">
        <v>509</v>
      </c>
      <c r="C17" s="327"/>
      <c r="D17" s="327"/>
      <c r="E17" s="327"/>
      <c r="F17" s="327"/>
    </row>
    <row r="18" spans="1:6">
      <c r="A18" s="1295" t="s">
        <v>8</v>
      </c>
      <c r="B18" s="1296">
        <v>552</v>
      </c>
      <c r="C18" s="327"/>
      <c r="D18" s="327"/>
      <c r="E18" s="327"/>
      <c r="F18" s="327"/>
    </row>
    <row r="19" spans="1:6">
      <c r="A19" s="1295" t="s">
        <v>9</v>
      </c>
      <c r="B19" s="1296">
        <v>561</v>
      </c>
      <c r="C19" s="327"/>
      <c r="D19" s="327"/>
      <c r="E19" s="327"/>
      <c r="F19" s="327"/>
    </row>
    <row r="20" spans="1:6">
      <c r="A20" s="1295" t="s">
        <v>10</v>
      </c>
      <c r="B20" s="1296">
        <v>362</v>
      </c>
      <c r="C20" s="327"/>
      <c r="D20" s="327"/>
      <c r="E20" s="327"/>
      <c r="F20" s="327"/>
    </row>
    <row r="21" spans="1:6">
      <c r="A21" s="1295" t="s">
        <v>11</v>
      </c>
      <c r="B21" s="1296">
        <v>0</v>
      </c>
      <c r="C21" s="327"/>
      <c r="D21" s="327"/>
      <c r="E21" s="327"/>
      <c r="F21" s="327"/>
    </row>
    <row r="22" spans="1:6">
      <c r="A22" s="1295" t="s">
        <v>12</v>
      </c>
      <c r="B22" s="1296">
        <v>4397</v>
      </c>
      <c r="C22" s="327"/>
      <c r="D22" s="327"/>
      <c r="E22" s="327"/>
      <c r="F22" s="327"/>
    </row>
    <row r="23" spans="1:6">
      <c r="A23" s="1295" t="s">
        <v>13</v>
      </c>
      <c r="B23" s="1296">
        <v>2</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50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102</v>
      </c>
      <c r="C29" s="333"/>
      <c r="D29" s="333"/>
      <c r="E29" s="333"/>
      <c r="F29" s="333"/>
    </row>
    <row r="30" spans="1:6">
      <c r="A30" s="1290" t="s">
        <v>962</v>
      </c>
      <c r="B30" s="1299">
        <v>16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9</v>
      </c>
      <c r="F36" s="1296">
        <v>20468.989102330899</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340.32597104320001</v>
      </c>
    </row>
    <row r="39" spans="1:6">
      <c r="A39" s="1295" t="s">
        <v>29</v>
      </c>
      <c r="B39" s="1295" t="s">
        <v>30</v>
      </c>
      <c r="C39" s="1296">
        <v>1528</v>
      </c>
      <c r="D39" s="1296">
        <v>31856874.6273444</v>
      </c>
      <c r="E39" s="1296">
        <v>2858</v>
      </c>
      <c r="F39" s="1296">
        <v>13013982.173808601</v>
      </c>
    </row>
    <row r="40" spans="1:6">
      <c r="A40" s="1295" t="s">
        <v>29</v>
      </c>
      <c r="B40" s="1295" t="s">
        <v>28</v>
      </c>
      <c r="C40" s="1296">
        <v>0</v>
      </c>
      <c r="D40" s="1296">
        <v>0</v>
      </c>
      <c r="E40" s="1296">
        <v>0</v>
      </c>
      <c r="F40" s="1296">
        <v>0</v>
      </c>
    </row>
    <row r="41" spans="1:6">
      <c r="A41" s="1295" t="s">
        <v>31</v>
      </c>
      <c r="B41" s="1295" t="s">
        <v>32</v>
      </c>
      <c r="C41" s="1296">
        <v>12</v>
      </c>
      <c r="D41" s="1296">
        <v>291652.97368265199</v>
      </c>
      <c r="E41" s="1296">
        <v>43</v>
      </c>
      <c r="F41" s="1296">
        <v>426583.99502809002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9350.7621623344003</v>
      </c>
    </row>
    <row r="48" spans="1:6">
      <c r="A48" s="1295" t="s">
        <v>31</v>
      </c>
      <c r="B48" s="1295" t="s">
        <v>28</v>
      </c>
      <c r="C48" s="1296">
        <v>5</v>
      </c>
      <c r="D48" s="1296">
        <v>64400.656645049698</v>
      </c>
      <c r="E48" s="1296">
        <v>15</v>
      </c>
      <c r="F48" s="1296">
        <v>177619.25188462599</v>
      </c>
    </row>
    <row r="49" spans="1:6">
      <c r="A49" s="1295" t="s">
        <v>31</v>
      </c>
      <c r="B49" s="1295" t="s">
        <v>39</v>
      </c>
      <c r="C49" s="1296">
        <v>0</v>
      </c>
      <c r="D49" s="1296">
        <v>0</v>
      </c>
      <c r="E49" s="1296">
        <v>0</v>
      </c>
      <c r="F49" s="1296">
        <v>0</v>
      </c>
    </row>
    <row r="50" spans="1:6">
      <c r="A50" s="1295" t="s">
        <v>31</v>
      </c>
      <c r="B50" s="1295" t="s">
        <v>40</v>
      </c>
      <c r="C50" s="1296">
        <v>4</v>
      </c>
      <c r="D50" s="1296">
        <v>183080.22252494699</v>
      </c>
      <c r="E50" s="1296">
        <v>6</v>
      </c>
      <c r="F50" s="1296">
        <v>206654.91407613701</v>
      </c>
    </row>
    <row r="51" spans="1:6">
      <c r="A51" s="1295" t="s">
        <v>41</v>
      </c>
      <c r="B51" s="1295" t="s">
        <v>42</v>
      </c>
      <c r="C51" s="1296">
        <v>11</v>
      </c>
      <c r="D51" s="1296">
        <v>112109.58832128999</v>
      </c>
      <c r="E51" s="1296">
        <v>55</v>
      </c>
      <c r="F51" s="1296">
        <v>507984.442275371</v>
      </c>
    </row>
    <row r="52" spans="1:6">
      <c r="A52" s="1295" t="s">
        <v>41</v>
      </c>
      <c r="B52" s="1295" t="s">
        <v>28</v>
      </c>
      <c r="C52" s="1296">
        <v>8</v>
      </c>
      <c r="D52" s="1296">
        <v>140858.232673758</v>
      </c>
      <c r="E52" s="1296">
        <v>9</v>
      </c>
      <c r="F52" s="1296">
        <v>47387.023086685098</v>
      </c>
    </row>
    <row r="53" spans="1:6">
      <c r="A53" s="1295" t="s">
        <v>43</v>
      </c>
      <c r="B53" s="1295" t="s">
        <v>44</v>
      </c>
      <c r="C53" s="1296">
        <v>28</v>
      </c>
      <c r="D53" s="1296">
        <v>645185.84449306596</v>
      </c>
      <c r="E53" s="1296">
        <v>71</v>
      </c>
      <c r="F53" s="1296">
        <v>368188.05707119103</v>
      </c>
    </row>
    <row r="54" spans="1:6">
      <c r="A54" s="1295" t="s">
        <v>45</v>
      </c>
      <c r="B54" s="1295" t="s">
        <v>46</v>
      </c>
      <c r="C54" s="1296">
        <v>0</v>
      </c>
      <c r="D54" s="1296">
        <v>0</v>
      </c>
      <c r="E54" s="1296">
        <v>2</v>
      </c>
      <c r="F54" s="1296">
        <v>482271</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16</v>
      </c>
      <c r="D57" s="1296">
        <v>512984.75721044699</v>
      </c>
      <c r="E57" s="1296">
        <v>16</v>
      </c>
      <c r="F57" s="1296">
        <v>401771.23521869298</v>
      </c>
    </row>
    <row r="58" spans="1:6">
      <c r="A58" s="1295" t="s">
        <v>48</v>
      </c>
      <c r="B58" s="1295" t="s">
        <v>50</v>
      </c>
      <c r="C58" s="1296">
        <v>3</v>
      </c>
      <c r="D58" s="1296">
        <v>87445.105193622294</v>
      </c>
      <c r="E58" s="1296">
        <v>9</v>
      </c>
      <c r="F58" s="1296">
        <v>91851.982702756897</v>
      </c>
    </row>
    <row r="59" spans="1:6">
      <c r="A59" s="1295" t="s">
        <v>48</v>
      </c>
      <c r="B59" s="1295" t="s">
        <v>51</v>
      </c>
      <c r="C59" s="1296">
        <v>10</v>
      </c>
      <c r="D59" s="1296">
        <v>242662.94010161699</v>
      </c>
      <c r="E59" s="1296">
        <v>52</v>
      </c>
      <c r="F59" s="1296">
        <v>683898.58456785197</v>
      </c>
    </row>
    <row r="60" spans="1:6">
      <c r="A60" s="1295" t="s">
        <v>48</v>
      </c>
      <c r="B60" s="1295" t="s">
        <v>52</v>
      </c>
      <c r="C60" s="1296">
        <v>5</v>
      </c>
      <c r="D60" s="1296">
        <v>585568.83675071399</v>
      </c>
      <c r="E60" s="1296">
        <v>13</v>
      </c>
      <c r="F60" s="1296">
        <v>310838.411931207</v>
      </c>
    </row>
    <row r="61" spans="1:6">
      <c r="A61" s="1295" t="s">
        <v>48</v>
      </c>
      <c r="B61" s="1295" t="s">
        <v>53</v>
      </c>
      <c r="C61" s="1296">
        <v>40</v>
      </c>
      <c r="D61" s="1296">
        <v>1644761.35765621</v>
      </c>
      <c r="E61" s="1296">
        <v>125</v>
      </c>
      <c r="F61" s="1296">
        <v>1707171.12226786</v>
      </c>
    </row>
    <row r="62" spans="1:6">
      <c r="A62" s="1295" t="s">
        <v>48</v>
      </c>
      <c r="B62" s="1295" t="s">
        <v>54</v>
      </c>
      <c r="C62" s="1296">
        <v>0</v>
      </c>
      <c r="D62" s="1296">
        <v>0</v>
      </c>
      <c r="E62" s="1296">
        <v>0</v>
      </c>
      <c r="F62" s="1296">
        <v>0</v>
      </c>
    </row>
    <row r="63" spans="1:6">
      <c r="A63" s="1295" t="s">
        <v>48</v>
      </c>
      <c r="B63" s="1295" t="s">
        <v>28</v>
      </c>
      <c r="C63" s="1296">
        <v>65</v>
      </c>
      <c r="D63" s="1296">
        <v>2546392.7943162001</v>
      </c>
      <c r="E63" s="1296">
        <v>91</v>
      </c>
      <c r="F63" s="1296">
        <v>1498677.6173271299</v>
      </c>
    </row>
    <row r="64" spans="1:6">
      <c r="A64" s="1295" t="s">
        <v>55</v>
      </c>
      <c r="B64" s="1295" t="s">
        <v>56</v>
      </c>
      <c r="C64" s="1296">
        <v>0</v>
      </c>
      <c r="D64" s="1296">
        <v>0</v>
      </c>
      <c r="E64" s="1296">
        <v>0</v>
      </c>
      <c r="F64" s="1296">
        <v>0</v>
      </c>
    </row>
    <row r="65" spans="1:6">
      <c r="A65" s="1295" t="s">
        <v>55</v>
      </c>
      <c r="B65" s="1295" t="s">
        <v>28</v>
      </c>
      <c r="C65" s="1296">
        <v>3</v>
      </c>
      <c r="D65" s="1296">
        <v>130052.802468658</v>
      </c>
      <c r="E65" s="1296">
        <v>3</v>
      </c>
      <c r="F65" s="1296">
        <v>69487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9</v>
      </c>
      <c r="F68" s="1299">
        <v>189986.741989136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27526718</v>
      </c>
      <c r="E73" s="447"/>
      <c r="F73" s="327"/>
    </row>
    <row r="74" spans="1:6">
      <c r="A74" s="1295" t="s">
        <v>63</v>
      </c>
      <c r="B74" s="1295" t="s">
        <v>755</v>
      </c>
      <c r="C74" s="1309" t="s">
        <v>749</v>
      </c>
      <c r="D74" s="1310">
        <v>2233297.7162396559</v>
      </c>
      <c r="E74" s="447"/>
      <c r="F74" s="327"/>
    </row>
    <row r="75" spans="1:6">
      <c r="A75" s="1295" t="s">
        <v>64</v>
      </c>
      <c r="B75" s="1295" t="s">
        <v>754</v>
      </c>
      <c r="C75" s="1309" t="s">
        <v>750</v>
      </c>
      <c r="D75" s="1310">
        <v>10881910</v>
      </c>
      <c r="E75" s="447"/>
      <c r="F75" s="327"/>
    </row>
    <row r="76" spans="1:6">
      <c r="A76" s="1295" t="s">
        <v>64</v>
      </c>
      <c r="B76" s="1295" t="s">
        <v>755</v>
      </c>
      <c r="C76" s="1309" t="s">
        <v>751</v>
      </c>
      <c r="D76" s="1310">
        <v>524219.71623965609</v>
      </c>
      <c r="E76" s="447"/>
      <c r="F76" s="327"/>
    </row>
    <row r="77" spans="1:6">
      <c r="A77" s="1295" t="s">
        <v>65</v>
      </c>
      <c r="B77" s="1295" t="s">
        <v>754</v>
      </c>
      <c r="C77" s="1309" t="s">
        <v>752</v>
      </c>
      <c r="D77" s="1310">
        <v>80166911</v>
      </c>
      <c r="E77" s="447"/>
      <c r="F77" s="327"/>
    </row>
    <row r="78" spans="1:6">
      <c r="A78" s="1290" t="s">
        <v>65</v>
      </c>
      <c r="B78" s="1290" t="s">
        <v>755</v>
      </c>
      <c r="C78" s="1290" t="s">
        <v>753</v>
      </c>
      <c r="D78" s="1311">
        <v>8402912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210572.56752068785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1563.4530727816448</v>
      </c>
      <c r="C91" s="327"/>
      <c r="D91" s="327"/>
      <c r="E91" s="327"/>
      <c r="F91" s="327"/>
    </row>
    <row r="92" spans="1:6">
      <c r="A92" s="1290" t="s">
        <v>68</v>
      </c>
      <c r="B92" s="1291">
        <v>237.19401044382516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725</v>
      </c>
      <c r="C97" s="327"/>
      <c r="D97" s="327"/>
      <c r="E97" s="327"/>
      <c r="F97" s="327"/>
    </row>
    <row r="98" spans="1:6">
      <c r="A98" s="1295" t="s">
        <v>71</v>
      </c>
      <c r="B98" s="1296">
        <v>0</v>
      </c>
      <c r="C98" s="327"/>
      <c r="D98" s="327"/>
      <c r="E98" s="327"/>
      <c r="F98" s="327"/>
    </row>
    <row r="99" spans="1:6">
      <c r="A99" s="1295" t="s">
        <v>72</v>
      </c>
      <c r="B99" s="1296">
        <v>45</v>
      </c>
      <c r="C99" s="327"/>
      <c r="D99" s="327"/>
      <c r="E99" s="327"/>
      <c r="F99" s="327"/>
    </row>
    <row r="100" spans="1:6">
      <c r="A100" s="1295" t="s">
        <v>73</v>
      </c>
      <c r="B100" s="1296">
        <v>134</v>
      </c>
      <c r="C100" s="327"/>
      <c r="D100" s="327"/>
      <c r="E100" s="327"/>
      <c r="F100" s="327"/>
    </row>
    <row r="101" spans="1:6">
      <c r="A101" s="1295" t="s">
        <v>74</v>
      </c>
      <c r="B101" s="1296">
        <v>32</v>
      </c>
      <c r="C101" s="327"/>
      <c r="D101" s="327"/>
      <c r="E101" s="327"/>
      <c r="F101" s="327"/>
    </row>
    <row r="102" spans="1:6">
      <c r="A102" s="1295" t="s">
        <v>75</v>
      </c>
      <c r="B102" s="1296">
        <v>19</v>
      </c>
      <c r="C102" s="327"/>
      <c r="D102" s="327"/>
      <c r="E102" s="327"/>
      <c r="F102" s="327"/>
    </row>
    <row r="103" spans="1:6">
      <c r="A103" s="1295" t="s">
        <v>76</v>
      </c>
      <c r="B103" s="1296">
        <v>54</v>
      </c>
      <c r="C103" s="327"/>
      <c r="D103" s="327"/>
      <c r="E103" s="327"/>
      <c r="F103" s="327"/>
    </row>
    <row r="104" spans="1:6">
      <c r="A104" s="1295" t="s">
        <v>77</v>
      </c>
      <c r="B104" s="1296">
        <v>1609</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4</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26</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21506.42598923968</v>
      </c>
      <c r="C3" s="44" t="s">
        <v>169</v>
      </c>
      <c r="D3" s="44"/>
      <c r="E3" s="157"/>
      <c r="F3" s="44"/>
      <c r="G3" s="44"/>
      <c r="H3" s="44"/>
      <c r="I3" s="44"/>
      <c r="J3" s="44"/>
      <c r="K3" s="97"/>
    </row>
    <row r="4" spans="1:11">
      <c r="A4" s="354" t="s">
        <v>170</v>
      </c>
      <c r="B4" s="50">
        <f>IF(ISERROR('SEAP template'!B78+'SEAP template'!C78),0,'SEAP template'!B78+'SEAP template'!C78)</f>
        <v>7416.6470832254699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0.14478654611357042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8022.8571428571431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482.27100000000002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482.27100000000002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0.14478654611357042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69.826352380737717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13013.982173808601</v>
      </c>
      <c r="C5" s="18">
        <f>IF(ISERROR('Eigen informatie GS &amp; warmtenet'!B57),0,'Eigen informatie GS &amp; warmtenet'!B57)</f>
        <v>0</v>
      </c>
      <c r="D5" s="31">
        <f>(SUM(HH_hh_gas_kWh,HH_rest_gas_kWh)/1000)*0.902</f>
        <v>28734.900913864651</v>
      </c>
      <c r="E5" s="18">
        <f>B32*B41</f>
        <v>786.11133213964456</v>
      </c>
      <c r="F5" s="18">
        <f>B36*B45</f>
        <v>23966.252203160373</v>
      </c>
      <c r="G5" s="19"/>
      <c r="H5" s="18"/>
      <c r="I5" s="18"/>
      <c r="J5" s="18">
        <f>B35*B44+C35*C44</f>
        <v>434.85929528560928</v>
      </c>
      <c r="K5" s="18"/>
      <c r="L5" s="18"/>
      <c r="M5" s="18"/>
      <c r="N5" s="18">
        <f>B34*B43+C34*C43</f>
        <v>4393.8644096523785</v>
      </c>
      <c r="O5" s="18">
        <f>B52*B53*B54</f>
        <v>46.9</v>
      </c>
      <c r="P5" s="18">
        <f>B60*B61*B62/1000-B60*B61*B62/1000/B63</f>
        <v>95.333333333333343</v>
      </c>
    </row>
    <row r="6" spans="1:16">
      <c r="A6" s="17" t="s">
        <v>628</v>
      </c>
      <c r="B6" s="768">
        <f>kWh_PV_kleiner_dan_10kW</f>
        <v>1563.4530727816448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14577.435246590247</v>
      </c>
      <c r="C8" s="22">
        <f>C5</f>
        <v>0</v>
      </c>
      <c r="D8" s="22">
        <f>D5</f>
        <v>28734.900913864651</v>
      </c>
      <c r="E8" s="22">
        <f>E5</f>
        <v>786.11133213964456</v>
      </c>
      <c r="F8" s="22">
        <f>F5</f>
        <v>23966.252203160373</v>
      </c>
      <c r="G8" s="22"/>
      <c r="H8" s="22"/>
      <c r="I8" s="22"/>
      <c r="J8" s="22">
        <f>J5</f>
        <v>434.85929528560928</v>
      </c>
      <c r="K8" s="22"/>
      <c r="L8" s="22">
        <f>L5</f>
        <v>0</v>
      </c>
      <c r="M8" s="22">
        <f>M5</f>
        <v>0</v>
      </c>
      <c r="N8" s="22">
        <f>N5</f>
        <v>4393.8644096523785</v>
      </c>
      <c r="O8" s="22">
        <f>O5</f>
        <v>46.9</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0.14478654611357042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2110.6165005480257</v>
      </c>
      <c r="C12" s="24">
        <f ca="1">C10*C8</f>
        <v>0</v>
      </c>
      <c r="D12" s="24">
        <f>D8*D10</f>
        <v>5804.4499846006602</v>
      </c>
      <c r="E12" s="24">
        <f>E10*E8</f>
        <v>178.44727239569931</v>
      </c>
      <c r="F12" s="24">
        <f>F10*F8</f>
        <v>6398.9893382438204</v>
      </c>
      <c r="G12" s="24"/>
      <c r="H12" s="24"/>
      <c r="I12" s="24"/>
      <c r="J12" s="24">
        <f>J10*J8</f>
        <v>153.94019053110569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2968</v>
      </c>
      <c r="C26" s="37"/>
      <c r="D26" s="228"/>
    </row>
    <row r="27" spans="1:5" s="16" customFormat="1">
      <c r="A27" s="230" t="s">
        <v>654</v>
      </c>
      <c r="B27" s="38">
        <f>SUM(HH_hh_gas_aantal,HH_rest_gas_aantal)</f>
        <v>1528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1451.6</v>
      </c>
      <c r="C31" s="35" t="s">
        <v>110</v>
      </c>
      <c r="D31" s="174"/>
    </row>
    <row r="32" spans="1:5">
      <c r="A32" s="171" t="s">
        <v>72</v>
      </c>
      <c r="B32" s="34">
        <f>IF((B21*($B$26-($B$27-0.05*$B$27)-$B$60))&lt;0,0,B21*($B$26-($B$27-0.05*$B$27)-$B$60))</f>
        <v>37.143154621032529</v>
      </c>
      <c r="C32" s="35" t="s">
        <v>110</v>
      </c>
      <c r="D32" s="174"/>
    </row>
    <row r="33" spans="1:6">
      <c r="A33" s="171" t="s">
        <v>73</v>
      </c>
      <c r="B33" s="34">
        <f>IF((B22*($B$26-($B$27-0.05*$B$27)-$B$60))&lt;0,0,B22*($B$26-($B$27-0.05*$B$27)-$B$60))</f>
        <v>250.0169935586724</v>
      </c>
      <c r="C33" s="35" t="s">
        <v>110</v>
      </c>
      <c r="D33" s="174"/>
    </row>
    <row r="34" spans="1:6">
      <c r="A34" s="171" t="s">
        <v>74</v>
      </c>
      <c r="B34" s="34">
        <f>IF((B24*($B$26-($B$27-0.05*$B$27)-$B$60))&lt;0,0,B24*($B$26-($B$27-0.05*$B$27)-$B$60))</f>
        <v>63.409579447197594</v>
      </c>
      <c r="C34" s="34">
        <f>B26*C24</f>
        <v>606.96290852180641</v>
      </c>
      <c r="D34" s="233"/>
    </row>
    <row r="35" spans="1:6">
      <c r="A35" s="171" t="s">
        <v>76</v>
      </c>
      <c r="B35" s="34">
        <f>IF((B19*($B$26-($B$27-0.05*$B$27)-$B$60))&lt;0,0,B19*($B$26-($B$27-0.05*$B$27)-$B$60))</f>
        <v>23.573674985303469</v>
      </c>
      <c r="C35" s="34">
        <f>B35/2</f>
        <v>11.786837492651735</v>
      </c>
      <c r="D35" s="233"/>
    </row>
    <row r="36" spans="1:6">
      <c r="A36" s="171" t="s">
        <v>77</v>
      </c>
      <c r="B36" s="34">
        <f>IF((B18*($B$26-($B$27-0.05*$B$27)-$B$60))&lt;0,0,B18*($B$26-($B$27-0.05*$B$27)-$B$60))</f>
        <v>1137.2565973877936</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4694.2089540154984</v>
      </c>
      <c r="C5" s="18">
        <f>IF(ISERROR('Eigen informatie GS &amp; warmtenet'!B58),0,'Eigen informatie GS &amp; warmtenet'!B58)</f>
        <v>0</v>
      </c>
      <c r="D5" s="31">
        <f>SUM(D6:D12)</f>
        <v>5069.0738436883876</v>
      </c>
      <c r="E5" s="18">
        <f>SUM(E6:E12)</f>
        <v>38.94195784214979</v>
      </c>
      <c r="F5" s="18">
        <f>SUM(F6:F12)</f>
        <v>859.48529324704305</v>
      </c>
      <c r="G5" s="19"/>
      <c r="H5" s="18"/>
      <c r="I5" s="18"/>
      <c r="J5" s="18">
        <f>SUM(J6:J12)</f>
        <v>0</v>
      </c>
      <c r="K5" s="18"/>
      <c r="L5" s="18"/>
      <c r="M5" s="18"/>
      <c r="N5" s="18">
        <f>SUM(N6:N12)</f>
        <v>334.91155006557705</v>
      </c>
      <c r="O5" s="18">
        <f>B38*B39*B40</f>
        <v>0</v>
      </c>
      <c r="P5" s="18">
        <f>B46*B47*B48/1000-B46*B47*B48/1000/B49</f>
        <v>19.066666666666666</v>
      </c>
      <c r="R5" s="33"/>
    </row>
    <row r="6" spans="1:18">
      <c r="A6" s="33" t="s">
        <v>53</v>
      </c>
      <c r="B6" s="38">
        <f>B26</f>
        <v>1707.17112226786</v>
      </c>
      <c r="C6" s="34"/>
      <c r="D6" s="38">
        <f>IF(ISERROR(TER_kantoor_gas_kWh/1000),0,TER_kantoor_gas_kWh/1000)*0.902</f>
        <v>1483.5747446059015</v>
      </c>
      <c r="E6" s="34">
        <f>$C$26*'E Balans VL '!I12/100/3.6*1000000</f>
        <v>2.8018138139981175</v>
      </c>
      <c r="F6" s="34">
        <f>$C$26*('E Balans VL '!L12+'E Balans VL '!N12)/100/3.6*1000000</f>
        <v>201.23530776015448</v>
      </c>
      <c r="G6" s="35"/>
      <c r="H6" s="34"/>
      <c r="I6" s="34"/>
      <c r="J6" s="34">
        <f>$C$26*('E Balans VL '!D12+'E Balans VL '!E12)/100/3.6*1000000</f>
        <v>0</v>
      </c>
      <c r="K6" s="34"/>
      <c r="L6" s="34"/>
      <c r="M6" s="34"/>
      <c r="N6" s="34">
        <f>$C$26*'E Balans VL '!Y12/100/3.6*1000000</f>
        <v>0.34492584113713159</v>
      </c>
      <c r="O6" s="34"/>
      <c r="P6" s="34"/>
      <c r="R6" s="33"/>
    </row>
    <row r="7" spans="1:18">
      <c r="A7" s="33" t="s">
        <v>52</v>
      </c>
      <c r="B7" s="38">
        <f t="shared" ref="B7:B12" si="0">B27</f>
        <v>310.83841193120702</v>
      </c>
      <c r="C7" s="34"/>
      <c r="D7" s="38">
        <f>IF(ISERROR(TER_horeca_gas_kWh/1000),0,TER_horeca_gas_kWh/1000)*0.902</f>
        <v>528.18309074914407</v>
      </c>
      <c r="E7" s="34">
        <f>$C$27*'E Balans VL '!I9/100/3.6*1000000</f>
        <v>16.13026430434822</v>
      </c>
      <c r="F7" s="34">
        <f>$C$27*('E Balans VL '!L9+'E Balans VL '!N9)/100/3.6*1000000</f>
        <v>70.933551148171006</v>
      </c>
      <c r="G7" s="35"/>
      <c r="H7" s="34"/>
      <c r="I7" s="34"/>
      <c r="J7" s="34">
        <f>$C$27*('E Balans VL '!D9+'E Balans VL '!E9)/100/3.6*1000000</f>
        <v>0</v>
      </c>
      <c r="K7" s="34"/>
      <c r="L7" s="34"/>
      <c r="M7" s="34"/>
      <c r="N7" s="34">
        <f>$C$27*'E Balans VL '!Y9/100/3.6*1000000</f>
        <v>3.282439385201856E-2</v>
      </c>
      <c r="O7" s="34"/>
      <c r="P7" s="34"/>
      <c r="R7" s="33"/>
    </row>
    <row r="8" spans="1:18">
      <c r="A8" s="6" t="s">
        <v>51</v>
      </c>
      <c r="B8" s="38">
        <f t="shared" si="0"/>
        <v>683.89858456785191</v>
      </c>
      <c r="C8" s="34"/>
      <c r="D8" s="38">
        <f>IF(ISERROR(TER_handel_gas_kWh/1000),0,TER_handel_gas_kWh/1000)*0.902</f>
        <v>218.88197197165852</v>
      </c>
      <c r="E8" s="34">
        <f>$C$28*'E Balans VL '!I13/100/3.6*1000000</f>
        <v>3.6828779178641118</v>
      </c>
      <c r="F8" s="34">
        <f>$C$28*('E Balans VL '!L13+'E Balans VL '!N13)/100/3.6*1000000</f>
        <v>139.4672450288343</v>
      </c>
      <c r="G8" s="35"/>
      <c r="H8" s="34"/>
      <c r="I8" s="34"/>
      <c r="J8" s="34">
        <f>$C$28*('E Balans VL '!D13+'E Balans VL '!E13)/100/3.6*1000000</f>
        <v>0</v>
      </c>
      <c r="K8" s="34"/>
      <c r="L8" s="34"/>
      <c r="M8" s="34"/>
      <c r="N8" s="34">
        <f>$C$28*'E Balans VL '!Y13/100/3.6*1000000</f>
        <v>3.4006665045607605</v>
      </c>
      <c r="O8" s="34"/>
      <c r="P8" s="34"/>
      <c r="R8" s="33"/>
    </row>
    <row r="9" spans="1:18">
      <c r="A9" s="33" t="s">
        <v>50</v>
      </c>
      <c r="B9" s="38">
        <f t="shared" si="0"/>
        <v>91.851982702756899</v>
      </c>
      <c r="C9" s="34"/>
      <c r="D9" s="38">
        <f>IF(ISERROR(TER_gezond_gas_kWh/1000),0,TER_gezond_gas_kWh/1000)*0.902</f>
        <v>78.875484884647307</v>
      </c>
      <c r="E9" s="34">
        <f>$C$29*'E Balans VL '!I10/100/3.6*1000000</f>
        <v>9.102635939485644E-2</v>
      </c>
      <c r="F9" s="34">
        <f>$C$29*('E Balans VL '!L10+'E Balans VL '!N10)/100/3.6*1000000</f>
        <v>31.869990466026092</v>
      </c>
      <c r="G9" s="35"/>
      <c r="H9" s="34"/>
      <c r="I9" s="34"/>
      <c r="J9" s="34">
        <f>$C$29*('E Balans VL '!D10+'E Balans VL '!E10)/100/3.6*1000000</f>
        <v>0</v>
      </c>
      <c r="K9" s="34"/>
      <c r="L9" s="34"/>
      <c r="M9" s="34"/>
      <c r="N9" s="34">
        <f>$C$29*'E Balans VL '!Y10/100/3.6*1000000</f>
        <v>0.79148057785054349</v>
      </c>
      <c r="O9" s="34"/>
      <c r="P9" s="34"/>
      <c r="R9" s="33"/>
    </row>
    <row r="10" spans="1:18">
      <c r="A10" s="33" t="s">
        <v>49</v>
      </c>
      <c r="B10" s="38">
        <f t="shared" si="0"/>
        <v>401.77123521869299</v>
      </c>
      <c r="C10" s="34"/>
      <c r="D10" s="38">
        <f>IF(ISERROR(TER_ander_gas_kWh/1000),0,TER_ander_gas_kWh/1000)*0.902</f>
        <v>462.71225100382321</v>
      </c>
      <c r="E10" s="34">
        <f>$C$30*'E Balans VL '!I14/100/3.6*1000000</f>
        <v>3.2868902458415743</v>
      </c>
      <c r="F10" s="34">
        <f>$C$30*('E Balans VL '!L14+'E Balans VL '!N14)/100/3.6*1000000</f>
        <v>117.46155239351931</v>
      </c>
      <c r="G10" s="35"/>
      <c r="H10" s="34"/>
      <c r="I10" s="34"/>
      <c r="J10" s="34">
        <f>$C$30*('E Balans VL '!D14+'E Balans VL '!E14)/100/3.6*1000000</f>
        <v>0</v>
      </c>
      <c r="K10" s="34"/>
      <c r="L10" s="34"/>
      <c r="M10" s="34"/>
      <c r="N10" s="34">
        <f>$C$30*'E Balans VL '!Y14/100/3.6*1000000</f>
        <v>231.76928588084579</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255</v>
      </c>
      <c r="B12" s="38">
        <f t="shared" si="0"/>
        <v>1498.6776173271298</v>
      </c>
      <c r="C12" s="34"/>
      <c r="D12" s="38">
        <f>IF(ISERROR(TER_rest_gas_kWh/1000),0,TER_rest_gas_kWh/1000)*0.902</f>
        <v>2296.8463004732125</v>
      </c>
      <c r="E12" s="34">
        <f>$C$32*'E Balans VL '!I8/100/3.6*1000000</f>
        <v>12.949085200702909</v>
      </c>
      <c r="F12" s="34">
        <f>$C$32*('E Balans VL '!L8+'E Balans VL '!N8)/100/3.6*1000000</f>
        <v>298.51764645033796</v>
      </c>
      <c r="G12" s="35"/>
      <c r="H12" s="34"/>
      <c r="I12" s="34"/>
      <c r="J12" s="34">
        <f>$C$32*('E Balans VL '!D8+'E Balans VL '!E8)/100/3.6*1000000</f>
        <v>0</v>
      </c>
      <c r="K12" s="34"/>
      <c r="L12" s="34"/>
      <c r="M12" s="34"/>
      <c r="N12" s="34">
        <f>$C$32*'E Balans VL '!Y8/100/3.6*1000000</f>
        <v>98.572366867330814</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4694.2089540154984</v>
      </c>
      <c r="C16" s="22">
        <f t="shared" ca="1" si="1"/>
        <v>0</v>
      </c>
      <c r="D16" s="22">
        <f t="shared" ca="1" si="1"/>
        <v>5069.0738436883876</v>
      </c>
      <c r="E16" s="22">
        <f t="shared" si="1"/>
        <v>38.94195784214979</v>
      </c>
      <c r="F16" s="22">
        <f t="shared" ca="1" si="1"/>
        <v>859.48529324704305</v>
      </c>
      <c r="G16" s="22">
        <f t="shared" si="1"/>
        <v>0</v>
      </c>
      <c r="H16" s="22">
        <f t="shared" si="1"/>
        <v>0</v>
      </c>
      <c r="I16" s="22">
        <f t="shared" si="1"/>
        <v>0</v>
      </c>
      <c r="J16" s="22">
        <f t="shared" si="1"/>
        <v>0</v>
      </c>
      <c r="K16" s="22">
        <f t="shared" si="1"/>
        <v>0</v>
      </c>
      <c r="L16" s="22">
        <f t="shared" ca="1" si="1"/>
        <v>0</v>
      </c>
      <c r="M16" s="22">
        <f t="shared" si="1"/>
        <v>0</v>
      </c>
      <c r="N16" s="22">
        <f t="shared" ca="1" si="1"/>
        <v>334.91155006557705</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0.14478654611357042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679.65830118730014</v>
      </c>
      <c r="C20" s="24">
        <f t="shared" ref="C20:P20" ca="1" si="2">C16*C18</f>
        <v>0</v>
      </c>
      <c r="D20" s="24">
        <f t="shared" ca="1" si="2"/>
        <v>1023.9529164250544</v>
      </c>
      <c r="E20" s="24">
        <f t="shared" si="2"/>
        <v>8.8398244301680027</v>
      </c>
      <c r="F20" s="24">
        <f t="shared" ca="1" si="2"/>
        <v>229.48257329696051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1707.17112226786</v>
      </c>
      <c r="C26" s="40">
        <f>IF(ISERROR(B26*3.6/1000000/'E Balans VL '!Z12*100),0,B26*3.6/1000000/'E Balans VL '!Z12*100)</f>
        <v>3.6276162082783336E-2</v>
      </c>
      <c r="D26" s="236" t="s">
        <v>691</v>
      </c>
      <c r="F26" s="6"/>
    </row>
    <row r="27" spans="1:18">
      <c r="A27" s="231" t="s">
        <v>52</v>
      </c>
      <c r="B27" s="34">
        <f>IF(ISERROR(TER_horeca_ele_kWh/1000),0,TER_horeca_ele_kWh/1000)</f>
        <v>310.83841193120702</v>
      </c>
      <c r="C27" s="40">
        <f>IF(ISERROR(B27*3.6/1000000/'E Balans VL '!Z9*100),0,B27*3.6/1000000/'E Balans VL '!Z9*100)</f>
        <v>2.4465386722001416E-2</v>
      </c>
      <c r="D27" s="236" t="s">
        <v>691</v>
      </c>
      <c r="F27" s="6"/>
    </row>
    <row r="28" spans="1:18">
      <c r="A28" s="171" t="s">
        <v>51</v>
      </c>
      <c r="B28" s="34">
        <f>IF(ISERROR(TER_handel_ele_kWh/1000),0,TER_handel_ele_kWh/1000)</f>
        <v>683.89858456785191</v>
      </c>
      <c r="C28" s="40">
        <f>IF(ISERROR(B28*3.6/1000000/'E Balans VL '!Z13*100),0,B28*3.6/1000000/'E Balans VL '!Z13*100)</f>
        <v>1.9156365361818101E-2</v>
      </c>
      <c r="D28" s="236" t="s">
        <v>691</v>
      </c>
      <c r="F28" s="6"/>
    </row>
    <row r="29" spans="1:18">
      <c r="A29" s="231" t="s">
        <v>50</v>
      </c>
      <c r="B29" s="34">
        <f>IF(ISERROR(TER_gezond_ele_kWh/1000),0,TER_gezond_ele_kWh/1000)</f>
        <v>91.851982702756899</v>
      </c>
      <c r="C29" s="40">
        <f>IF(ISERROR(B29*3.6/1000000/'E Balans VL '!Z10*100),0,B29*3.6/1000000/'E Balans VL '!Z10*100)</f>
        <v>1.1750646079777735E-2</v>
      </c>
      <c r="D29" s="236" t="s">
        <v>691</v>
      </c>
      <c r="F29" s="6"/>
    </row>
    <row r="30" spans="1:18">
      <c r="A30" s="231" t="s">
        <v>49</v>
      </c>
      <c r="B30" s="34">
        <f>IF(ISERROR(TER_ander_ele_kWh/1000),0,TER_ander_ele_kWh/1000)</f>
        <v>401.77123521869299</v>
      </c>
      <c r="C30" s="40">
        <f>IF(ISERROR(B30*3.6/1000000/'E Balans VL '!Z14*100),0,B30*3.6/1000000/'E Balans VL '!Z14*100)</f>
        <v>3.0049103010791351E-2</v>
      </c>
      <c r="D30" s="236" t="s">
        <v>691</v>
      </c>
      <c r="F30" s="6"/>
    </row>
    <row r="31" spans="1:18">
      <c r="A31" s="231" t="s">
        <v>54</v>
      </c>
      <c r="B31" s="34">
        <f>IF(ISERROR(TER_onderwijs_ele_kWh/1000),0,TER_onderwijs_ele_kWh/1000)</f>
        <v>0</v>
      </c>
      <c r="C31" s="40">
        <f>IF(ISERROR(B31*3.6/1000000/'E Balans VL '!Z11*100),0,B31*3.6/1000000/'E Balans VL '!Z11*100)</f>
        <v>0</v>
      </c>
      <c r="D31" s="236" t="s">
        <v>691</v>
      </c>
    </row>
    <row r="32" spans="1:18">
      <c r="A32" s="231" t="s">
        <v>255</v>
      </c>
      <c r="B32" s="34">
        <f>IF(ISERROR(TER_rest_ele_kWh/1000),0,TER_rest_ele_kWh/1000)</f>
        <v>1498.6776173271298</v>
      </c>
      <c r="C32" s="40">
        <f>IF(ISERROR(B32*3.6/1000000/'E Balans VL '!Z8*100),0,B32*3.6/1000000/'E Balans VL '!Z8*100)</f>
        <v>1.2346004399535877E-2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820.20892315118749</v>
      </c>
      <c r="C5" s="18">
        <f>IF(ISERROR('Eigen informatie GS &amp; warmtenet'!B59),0,'Eigen informatie GS &amp; warmtenet'!B59)</f>
        <v>0</v>
      </c>
      <c r="D5" s="31">
        <f>SUM(D6:D15)</f>
        <v>486.29873527308911</v>
      </c>
      <c r="E5" s="18">
        <f>SUM(E6:E15)</f>
        <v>6.4122099052914674</v>
      </c>
      <c r="F5" s="18">
        <f>SUM(F6:F15)</f>
        <v>398.84121314765747</v>
      </c>
      <c r="G5" s="19"/>
      <c r="H5" s="18"/>
      <c r="I5" s="18"/>
      <c r="J5" s="18">
        <f>SUM(J6:J15)</f>
        <v>0.93437106530025216</v>
      </c>
      <c r="K5" s="18"/>
      <c r="L5" s="18"/>
      <c r="M5" s="18"/>
      <c r="N5" s="18">
        <f>SUM(N6:N15)</f>
        <v>44.273539233383687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426.58399502809004</v>
      </c>
      <c r="C9" s="34"/>
      <c r="D9" s="38">
        <f>IF( ISERROR(IND_andere_gas_kWh/1000),0,IND_andere_gas_kWh/1000)*0.902</f>
        <v>263.07098226175208</v>
      </c>
      <c r="E9" s="34">
        <f>C31*'E Balans VL '!I19/100/3.6*1000000</f>
        <v>2.4657192389676545</v>
      </c>
      <c r="F9" s="34">
        <f>C31*'E Balans VL '!L19/100/3.6*1000000+C31*'E Balans VL '!N19/100/3.6*1000000</f>
        <v>339.36809445442651</v>
      </c>
      <c r="G9" s="35"/>
      <c r="H9" s="34"/>
      <c r="I9" s="34"/>
      <c r="J9" s="41">
        <f>C31*'E Balans VL '!D19/100/3.6*1000000+C31*'E Balans VL '!E19/100/3.6*1000000</f>
        <v>4.0350107568848922E-2</v>
      </c>
      <c r="K9" s="34"/>
      <c r="L9" s="34"/>
      <c r="M9" s="34"/>
      <c r="N9" s="34">
        <f>C31*'E Balans VL '!Y19/100/3.6*1000000</f>
        <v>32.32019325004272</v>
      </c>
      <c r="O9" s="34"/>
      <c r="P9" s="34"/>
      <c r="R9" s="33"/>
    </row>
    <row r="10" spans="1:18">
      <c r="A10" s="6" t="s">
        <v>40</v>
      </c>
      <c r="B10" s="38">
        <f t="shared" si="0"/>
        <v>206.654914076137</v>
      </c>
      <c r="C10" s="34"/>
      <c r="D10" s="38">
        <f>IF( ISERROR(IND_voed_gas_kWh/1000),0,IND_voed_gas_kWh/1000)*0.902</f>
        <v>165.1383607175022</v>
      </c>
      <c r="E10" s="34">
        <f>C32*'E Balans VL '!I20/100/3.6*1000000</f>
        <v>2.031958445893578</v>
      </c>
      <c r="F10" s="34">
        <f>C32*'E Balans VL '!L20/100/3.6*1000000+C32*'E Balans VL '!N20/100/3.6*1000000</f>
        <v>22.951725601260222</v>
      </c>
      <c r="G10" s="35"/>
      <c r="H10" s="34"/>
      <c r="I10" s="34"/>
      <c r="J10" s="41">
        <f>C32*'E Balans VL '!D20/100/3.6*1000000+C32*'E Balans VL '!E20/100/3.6*1000000</f>
        <v>8.1452083205994048E-4</v>
      </c>
      <c r="K10" s="34"/>
      <c r="L10" s="34"/>
      <c r="M10" s="34"/>
      <c r="N10" s="34">
        <f>C32*'E Balans VL '!Y20/100/3.6*1000000</f>
        <v>3.0600731738706064</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9.3507621623343997</v>
      </c>
      <c r="C13" s="34"/>
      <c r="D13" s="38">
        <f>IF( ISERROR(IND_papier_gas_kWh/1000),0,IND_papier_gas_kWh/1000)*0.902</f>
        <v>0</v>
      </c>
      <c r="E13" s="34">
        <f>C35*'E Balans VL '!I23/100/3.6*1000000</f>
        <v>0.31850051697770387</v>
      </c>
      <c r="F13" s="34">
        <f>C35*'E Balans VL '!L23/100/3.6*1000000+C35*'E Balans VL '!N23/100/3.6*1000000</f>
        <v>1.5445264515536437</v>
      </c>
      <c r="G13" s="35"/>
      <c r="H13" s="34"/>
      <c r="I13" s="34"/>
      <c r="J13" s="41">
        <f>C35*'E Balans VL '!D23/100/3.6*1000000+C35*'E Balans VL '!E23/100/3.6*1000000</f>
        <v>0</v>
      </c>
      <c r="K13" s="34"/>
      <c r="L13" s="34"/>
      <c r="M13" s="34"/>
      <c r="N13" s="34">
        <f>C35*'E Balans VL '!Y23/100/3.6*1000000</f>
        <v>3.4408297077374135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177.61925188462598</v>
      </c>
      <c r="C15" s="34"/>
      <c r="D15" s="38">
        <f>IF( ISERROR(IND_rest_gas_kWh/1000),0,IND_rest_gas_kWh/1000)*0.902</f>
        <v>58.089392293834827</v>
      </c>
      <c r="E15" s="34">
        <f>C37*'E Balans VL '!I15/100/3.6*1000000</f>
        <v>1.596031703452532</v>
      </c>
      <c r="F15" s="34">
        <f>C37*'E Balans VL '!L15/100/3.6*1000000+C37*'E Balans VL '!N15/100/3.6*1000000</f>
        <v>34.976866640417143</v>
      </c>
      <c r="G15" s="35"/>
      <c r="H15" s="34"/>
      <c r="I15" s="34"/>
      <c r="J15" s="41">
        <f>C37*'E Balans VL '!D15/100/3.6*1000000+C37*'E Balans VL '!E15/100/3.6*1000000</f>
        <v>0.89320643689934331</v>
      </c>
      <c r="K15" s="34"/>
      <c r="L15" s="34"/>
      <c r="M15" s="34"/>
      <c r="N15" s="34">
        <f>C37*'E Balans VL '!Y15/100/3.6*1000000</f>
        <v>5.4524431017329427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820.20892315118749</v>
      </c>
      <c r="C18" s="22">
        <f>C5+C16</f>
        <v>0</v>
      </c>
      <c r="D18" s="22">
        <f>MAX((D5+D16),0)</f>
        <v>486.29873527308911</v>
      </c>
      <c r="E18" s="22">
        <f>MAX((E5+E16),0)</f>
        <v>6.4122099052914674</v>
      </c>
      <c r="F18" s="22">
        <f>MAX((F5+F16),0)</f>
        <v>398.84121314765747</v>
      </c>
      <c r="G18" s="22"/>
      <c r="H18" s="22"/>
      <c r="I18" s="22"/>
      <c r="J18" s="22">
        <f>MAX((J5+J16),0)</f>
        <v>0.93437106530025216</v>
      </c>
      <c r="K18" s="22"/>
      <c r="L18" s="22">
        <f>MAX((L5+L16),0)</f>
        <v>0</v>
      </c>
      <c r="M18" s="22"/>
      <c r="N18" s="22">
        <f>MAX((N5+N16),0)</f>
        <v>44.273539233383687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0.14478654611357042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118.75521707459134</v>
      </c>
      <c r="C22" s="24">
        <f ca="1">C18*C20</f>
        <v>0</v>
      </c>
      <c r="D22" s="24">
        <f>D18*D20</f>
        <v>98.232344525164009</v>
      </c>
      <c r="E22" s="24">
        <f>E18*E20</f>
        <v>1.4555716485011632</v>
      </c>
      <c r="F22" s="24">
        <f>F18*F20</f>
        <v>106.49060391042455</v>
      </c>
      <c r="G22" s="24"/>
      <c r="H22" s="24"/>
      <c r="I22" s="24"/>
      <c r="J22" s="24">
        <f>J18*J20</f>
        <v>0.33076735711628924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426.58399502809004</v>
      </c>
      <c r="C31" s="40">
        <f>IF(ISERROR(B31*3.6/1000000/'E Balans VL '!Z19*100),0,B31*3.6/1000000/'E Balans VL '!Z19*100)</f>
        <v>1.9830769590151006E-2</v>
      </c>
      <c r="D31" s="236" t="s">
        <v>691</v>
      </c>
    </row>
    <row r="32" spans="1:18">
      <c r="A32" s="171" t="s">
        <v>40</v>
      </c>
      <c r="B32" s="38">
        <f>IF( ISERROR(IND_voed_ele_kWh/1000),0,IND_voed_ele_kWh/1000)</f>
        <v>206.654914076137</v>
      </c>
      <c r="C32" s="40">
        <f>IF(ISERROR(B32*3.6/1000000/'E Balans VL '!Z20*100),0,B32*3.6/1000000/'E Balans VL '!Z20*100)</f>
        <v>7.3048338553172026E-3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9.3507621623343997</v>
      </c>
      <c r="C35" s="40">
        <f>IF(ISERROR(B35*3.6/1000000/'E Balans VL '!Z22*100),0,B35*3.6/1000000/'E Balans VL '!Z22*100)</f>
        <v>1.8792395120445153E-3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177.61925188462598</v>
      </c>
      <c r="C37" s="40">
        <f>IF(ISERROR(B37*3.6/1000000/'E Balans VL '!Z15*100),0,B37*3.6/1000000/'E Balans VL '!Z15*100)</f>
        <v>1.3412877350402438E-3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555.37146536205603</v>
      </c>
      <c r="C5" s="18">
        <f>'Eigen informatie GS &amp; warmtenet'!B60</f>
        <v>0</v>
      </c>
      <c r="D5" s="31">
        <f>IF(ISERROR(SUM(LB_lb_gas_kWh,LB_rest_gas_kWh)/1000),0,SUM(LB_lb_gas_kWh,LB_rest_gas_kWh)/1000)*0.902</f>
        <v>228.17697453753328</v>
      </c>
      <c r="E5" s="18">
        <f>B17*'E Balans VL '!I25/3.6*1000000/100</f>
        <v>5.2319713147987565</v>
      </c>
      <c r="F5" s="18">
        <f>B17*('E Balans VL '!L25/3.6*1000000+'E Balans VL '!N25/3.6*1000000)/100</f>
        <v>1812.3614030788965</v>
      </c>
      <c r="G5" s="19"/>
      <c r="H5" s="18"/>
      <c r="I5" s="18"/>
      <c r="J5" s="18">
        <f>('E Balans VL '!D25+'E Balans VL '!E25)/3.6*1000000*landbouw!B17/100</f>
        <v>68.70215159157496</v>
      </c>
      <c r="K5" s="18"/>
      <c r="L5" s="18">
        <f>L6*(-1)</f>
        <v>0</v>
      </c>
      <c r="M5" s="18"/>
      <c r="N5" s="18">
        <f>N6*(-1)</f>
        <v>16045.714285714286</v>
      </c>
      <c r="O5" s="18"/>
      <c r="P5" s="18"/>
      <c r="R5" s="33"/>
    </row>
    <row r="6" spans="1:18">
      <c r="A6" s="17" t="s">
        <v>495</v>
      </c>
      <c r="B6" s="18" t="s">
        <v>210</v>
      </c>
      <c r="C6" s="18">
        <f>'lokale energieproductie'!O39+'lokale energieproductie'!O32</f>
        <v>8022.8571428571431</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-16045.714285714286</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555.37146536205603</v>
      </c>
      <c r="C8" s="22">
        <f>C5+C6</f>
        <v>8022.8571428571431</v>
      </c>
      <c r="D8" s="22">
        <f>MAX((D5+D6),0)</f>
        <v>228.17697453753328</v>
      </c>
      <c r="E8" s="22">
        <f>MAX((E5+E6),0)</f>
        <v>5.2319713147987565</v>
      </c>
      <c r="F8" s="22">
        <f>MAX((F5+F6),0)</f>
        <v>1812.3614030788965</v>
      </c>
      <c r="G8" s="22"/>
      <c r="H8" s="22"/>
      <c r="I8" s="22"/>
      <c r="J8" s="22">
        <f>MAX((J5+J6),0)</f>
        <v>68.70215159157496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0.14478654611357042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80.410316279804505</v>
      </c>
      <c r="C12" s="24">
        <f ca="1">C8*C10</f>
        <v>0</v>
      </c>
      <c r="D12" s="24">
        <f>D8*D10</f>
        <v>46.091748856581724</v>
      </c>
      <c r="E12" s="24">
        <f>E8*E10</f>
        <v>1.1876574884593178</v>
      </c>
      <c r="F12" s="24">
        <f>F8*F10</f>
        <v>483.90049462206537</v>
      </c>
      <c r="G12" s="24"/>
      <c r="H12" s="24"/>
      <c r="I12" s="24"/>
      <c r="J12" s="24">
        <f>J8*J10</f>
        <v>24.320561663417536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7.5188421857698445E-2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123.18943024469132</v>
      </c>
      <c r="C26" s="246">
        <f>B26*'GWP N2O_CH4'!B5</f>
        <v>2586.978035138518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33.483047768644916</v>
      </c>
      <c r="C27" s="246">
        <f>B27*'GWP N2O_CH4'!B5</f>
        <v>703.14400314154318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2.5773240281385963</v>
      </c>
      <c r="C28" s="246">
        <f>B28*'GWP N2O_CH4'!B4</f>
        <v>798.97044872296487</v>
      </c>
      <c r="D28" s="51"/>
    </row>
    <row r="29" spans="1:4">
      <c r="A29" s="42" t="s">
        <v>272</v>
      </c>
      <c r="B29" s="246">
        <f>B34*'ha_N2O bodem landbouw'!B4</f>
        <v>10.219971074722284</v>
      </c>
      <c r="C29" s="246">
        <f>B29*'GWP N2O_CH4'!B4</f>
        <v>3168.1910331639083</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2.7590704627585044E-3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1.7712771490115369E-5</v>
      </c>
      <c r="C5" s="435" t="s">
        <v>210</v>
      </c>
      <c r="D5" s="420">
        <f>SUM(D6:D11)</f>
        <v>2.0473130688804659E-5</v>
      </c>
      <c r="E5" s="420">
        <f>SUM(E6:E11)</f>
        <v>1.5101536352483285E-3</v>
      </c>
      <c r="F5" s="433" t="s">
        <v>210</v>
      </c>
      <c r="G5" s="420">
        <f>SUM(G6:G11)</f>
        <v>0.32768858756870006</v>
      </c>
      <c r="H5" s="420">
        <f>SUM(H6:H11)</f>
        <v>5.1271077131002221E-2</v>
      </c>
      <c r="I5" s="435" t="s">
        <v>210</v>
      </c>
      <c r="J5" s="435" t="s">
        <v>210</v>
      </c>
      <c r="K5" s="435" t="s">
        <v>210</v>
      </c>
      <c r="L5" s="435" t="s">
        <v>210</v>
      </c>
      <c r="M5" s="420">
        <f>SUM(M6:M11)</f>
        <v>1.6929209584080444E-2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3.8648424665477901E-6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4.5013104146469437E-6</v>
      </c>
      <c r="E6" s="423">
        <f>vkm_GW_PW*SUMIFS(TableVerdeelsleutelVkm[LPG],TableVerdeelsleutelVkm[Voertuigtype],"Lichte voertuigen")*SUMIFS(TableECFTransport[EnergieConsumptieFactor (PJ per km)],TableECFTransport[Index],CONCATENATE($A6,"_LPG_LPG"))</f>
        <v>2.9203345265641054E-4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4.5562709126057879E-2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1.098060569060587E-2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2.530317020409855E-3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1.3072546346119336E-7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2.1624876617015738E-2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5.8027249850803951E-7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9.6223646513106333E-4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1.5952275315116973E-6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3.0343972482067234E-6</v>
      </c>
      <c r="E8" s="423">
        <f>vkm_NGW_PW*SUMIFS(TableVerdeelsleutelVkm[LPG],TableVerdeelsleutelVkm[Voertuigtype],"Lichte voertuigen")*SUMIFS(TableECFTransport[EnergieConsumptieFactor (PJ per km)],TableECFTransport[Index],CONCATENATE($A8,"_LPG_LPG"))</f>
        <v>1.8652124550604901E-4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2.7395823012617043E-2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7.0560605282279226E-3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1.5422032233606317E-3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3.0685055943329708E-8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6.5091666735149914E-3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1.6440505375990365E-7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2.8963621294134242E-4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1.1599428845342513E-5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1.2937423025950993E-5</v>
      </c>
      <c r="E10" s="423">
        <f>vkm_SW_PW*SUMIFS(TableVerdeelsleutelVkm[LPG],TableVerdeelsleutelVkm[Voertuigtype],"Lichte voertuigen")*SUMIFS(TableECFTransport[EnergieConsumptieFactor (PJ per km)],TableECFTransport[Index],CONCATENATE($A10,"_LPG_LPG"))</f>
        <v>1.0315989370858689E-3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0.15038025342429792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3.3231419014462978E-2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8.2134547727093152E-3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4.9186212730884542E-7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7.6215758715196466E-2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2.2472201531839065E-6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3.3913618895282352E-3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4.9202143028098249</v>
      </c>
      <c r="C14" s="22"/>
      <c r="D14" s="22">
        <f t="shared" ref="D14:M14" si="0">((D5)*10^9/3600)+D12</f>
        <v>5.6869807468901836</v>
      </c>
      <c r="E14" s="22">
        <f t="shared" si="0"/>
        <v>419.48712090231351</v>
      </c>
      <c r="F14" s="22"/>
      <c r="G14" s="22">
        <f t="shared" si="0"/>
        <v>91024.607657972243</v>
      </c>
      <c r="H14" s="22">
        <f t="shared" si="0"/>
        <v>14241.965869722839</v>
      </c>
      <c r="I14" s="22"/>
      <c r="J14" s="22"/>
      <c r="K14" s="22"/>
      <c r="L14" s="22"/>
      <c r="M14" s="22">
        <f t="shared" si="0"/>
        <v>4702.5582178001232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0.14478654611357042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0.71238083504242344</v>
      </c>
      <c r="C18" s="24"/>
      <c r="D18" s="24">
        <f t="shared" ref="D18:M18" si="1">D14*D16</f>
        <v>1.1487701108718171</v>
      </c>
      <c r="E18" s="24">
        <f t="shared" si="1"/>
        <v>95.22357644482517</v>
      </c>
      <c r="F18" s="24"/>
      <c r="G18" s="24">
        <f t="shared" si="1"/>
        <v>24303.570244678591</v>
      </c>
      <c r="H18" s="24">
        <f t="shared" si="1"/>
        <v>3546.249501560987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1.3759663488083088E-5</v>
      </c>
      <c r="C50" s="316">
        <f t="shared" ref="C50:P50" si="2">SUM(C51:C52)</f>
        <v>0</v>
      </c>
      <c r="D50" s="316">
        <f t="shared" si="2"/>
        <v>0</v>
      </c>
      <c r="E50" s="316">
        <f t="shared" si="2"/>
        <v>0</v>
      </c>
      <c r="F50" s="316">
        <f t="shared" si="2"/>
        <v>0</v>
      </c>
      <c r="G50" s="316">
        <f t="shared" si="2"/>
        <v>2.7443920107739039E-3</v>
      </c>
      <c r="H50" s="316">
        <f t="shared" si="2"/>
        <v>0</v>
      </c>
      <c r="I50" s="316">
        <f t="shared" si="2"/>
        <v>0</v>
      </c>
      <c r="J50" s="316">
        <f t="shared" si="2"/>
        <v>0</v>
      </c>
      <c r="K50" s="316">
        <f t="shared" si="2"/>
        <v>0</v>
      </c>
      <c r="L50" s="316">
        <f t="shared" si="2"/>
        <v>0</v>
      </c>
      <c r="M50" s="316">
        <f t="shared" si="2"/>
        <v>1.2129920393463986E-4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1.3759663488083088E-5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2.7443920107739039E-3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1.2129920393463986E-4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3.8221287466897467</v>
      </c>
      <c r="C54" s="22">
        <f t="shared" ref="C54:P54" si="3">(C50)*10^9/3600</f>
        <v>0</v>
      </c>
      <c r="D54" s="22">
        <f t="shared" si="3"/>
        <v>0</v>
      </c>
      <c r="E54" s="22">
        <f t="shared" si="3"/>
        <v>0</v>
      </c>
      <c r="F54" s="22">
        <f t="shared" si="3"/>
        <v>0</v>
      </c>
      <c r="G54" s="22">
        <f t="shared" si="3"/>
        <v>762.33111410386209</v>
      </c>
      <c r="H54" s="22">
        <f t="shared" si="3"/>
        <v>0</v>
      </c>
      <c r="I54" s="22">
        <f t="shared" si="3"/>
        <v>0</v>
      </c>
      <c r="J54" s="22">
        <f t="shared" si="3"/>
        <v>0</v>
      </c>
      <c r="K54" s="22">
        <f t="shared" si="3"/>
        <v>0</v>
      </c>
      <c r="L54" s="22">
        <f t="shared" si="3"/>
        <v>0</v>
      </c>
      <c r="M54" s="22">
        <f t="shared" si="3"/>
        <v>33.694223315177737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0.14478654611357042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0.55339282003459811</v>
      </c>
      <c r="C58" s="24">
        <f t="shared" ref="C58:P58" ca="1" si="4">C54*C56</f>
        <v>0</v>
      </c>
      <c r="D58" s="24">
        <f t="shared" si="4"/>
        <v>0</v>
      </c>
      <c r="E58" s="24">
        <f t="shared" si="4"/>
        <v>0</v>
      </c>
      <c r="F58" s="24">
        <f t="shared" si="4"/>
        <v>0</v>
      </c>
      <c r="G58" s="24">
        <f t="shared" si="4"/>
        <v>203.5424074657312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1800.6470832254699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5616</v>
      </c>
      <c r="C8" s="546">
        <f>B48</f>
        <v>0</v>
      </c>
      <c r="D8" s="969"/>
      <c r="E8" s="969">
        <f>E48</f>
        <v>0</v>
      </c>
      <c r="F8" s="970"/>
      <c r="G8" s="547"/>
      <c r="H8" s="969">
        <f>I48</f>
        <v>0</v>
      </c>
      <c r="I8" s="969">
        <f>G48+F48</f>
        <v>0</v>
      </c>
      <c r="J8" s="969">
        <f>H48+D48+C48</f>
        <v>6607.0588235294117</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7416.6470832254699</v>
      </c>
      <c r="C10" s="558">
        <f t="shared" ref="C10:L10" si="0">SUM(C8:C9)</f>
        <v>0</v>
      </c>
      <c r="D10" s="558">
        <f t="shared" si="0"/>
        <v>0</v>
      </c>
      <c r="E10" s="558">
        <f t="shared" si="0"/>
        <v>0</v>
      </c>
      <c r="F10" s="558">
        <f t="shared" si="0"/>
        <v>0</v>
      </c>
      <c r="G10" s="558">
        <f t="shared" si="0"/>
        <v>0</v>
      </c>
      <c r="H10" s="558">
        <f t="shared" si="0"/>
        <v>0</v>
      </c>
      <c r="I10" s="558">
        <f t="shared" si="0"/>
        <v>0</v>
      </c>
      <c r="J10" s="558">
        <f t="shared" si="0"/>
        <v>6607.0588235294117</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8022.8571428571431</v>
      </c>
      <c r="C17" s="570">
        <f>B49</f>
        <v>0</v>
      </c>
      <c r="D17" s="571"/>
      <c r="E17" s="571">
        <f>E49</f>
        <v>0</v>
      </c>
      <c r="F17" s="572"/>
      <c r="G17" s="573"/>
      <c r="H17" s="570">
        <f>I49</f>
        <v>0</v>
      </c>
      <c r="I17" s="571">
        <f>G49+F49</f>
        <v>0</v>
      </c>
      <c r="J17" s="571">
        <f>H49+D49+C49</f>
        <v>9438.6554621848754</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8022.8571428571431</v>
      </c>
      <c r="C20" s="557">
        <f>SUM(C17:C19)</f>
        <v>0</v>
      </c>
      <c r="D20" s="557">
        <f t="shared" ref="D20:L20" si="1">SUM(D17:D19)</f>
        <v>0</v>
      </c>
      <c r="E20" s="557">
        <f t="shared" si="1"/>
        <v>0</v>
      </c>
      <c r="F20" s="557">
        <f t="shared" si="1"/>
        <v>0</v>
      </c>
      <c r="G20" s="557">
        <f t="shared" si="1"/>
        <v>0</v>
      </c>
      <c r="H20" s="557">
        <f t="shared" si="1"/>
        <v>0</v>
      </c>
      <c r="I20" s="557">
        <f t="shared" si="1"/>
        <v>0</v>
      </c>
      <c r="J20" s="557">
        <f t="shared" si="1"/>
        <v>9438.6554621848754</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24016</v>
      </c>
      <c r="C28" s="777">
        <v>3370</v>
      </c>
      <c r="D28" s="630" t="s">
        <v>965</v>
      </c>
      <c r="E28" s="629" t="s">
        <v>966</v>
      </c>
      <c r="F28" s="629" t="s">
        <v>967</v>
      </c>
      <c r="G28" s="629" t="s">
        <v>968</v>
      </c>
      <c r="H28" s="629" t="s">
        <v>969</v>
      </c>
      <c r="I28" s="629" t="s">
        <v>970</v>
      </c>
      <c r="J28" s="776">
        <v>40049</v>
      </c>
      <c r="K28" s="776">
        <v>40168</v>
      </c>
      <c r="L28" s="629" t="s">
        <v>971</v>
      </c>
      <c r="M28" s="629">
        <v>1248</v>
      </c>
      <c r="N28" s="629">
        <v>5616</v>
      </c>
      <c r="O28" s="629">
        <v>8022.8571428571431</v>
      </c>
      <c r="P28" s="629">
        <v>0</v>
      </c>
      <c r="Q28" s="629">
        <v>16045.714285714286</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1248</v>
      </c>
      <c r="N29" s="587">
        <f>SUM(N28:N28)</f>
        <v>5616</v>
      </c>
      <c r="O29" s="587">
        <f>SUM(O28:O28)</f>
        <v>8022.8571428571431</v>
      </c>
      <c r="P29" s="587">
        <f>SUM(P28:P28)</f>
        <v>0</v>
      </c>
      <c r="Q29" s="587">
        <f>SUM(Q28:Q28)</f>
        <v>16045.714285714286</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1248</v>
      </c>
      <c r="N32" s="592">
        <f>SUMIF($Z$28:$Z$28,"landbouw",N28:N28)</f>
        <v>5616</v>
      </c>
      <c r="O32" s="592">
        <f>SUMIF($Z$28:$Z$28,"landbouw",O28:O28)</f>
        <v>8022.8571428571431</v>
      </c>
      <c r="P32" s="592">
        <f>SUMIF($Z$28:$Z$28,"landbouw",P28:P28)</f>
        <v>0</v>
      </c>
      <c r="Q32" s="592">
        <f>SUMIF($Z$28:$Z$28,"landbouw",Q28:Q28)</f>
        <v>16045.714285714286</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6607.0588235294117</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9438.6554621848754</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2021-06-29T16:41:19Z</dcterms:modified>
</cp:coreProperties>
</file>