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B20" i="18" s="1"/>
  <c r="C45" i="18"/>
  <c r="B48" i="18" s="1"/>
  <c r="C8" i="18" s="1"/>
  <c r="G20" i="18"/>
  <c r="K20" i="18"/>
  <c r="B10" i="18"/>
  <c r="O9"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<sst xmlns="http://schemas.openxmlformats.org/spreadsheetml/2006/main" count="2565" uniqueCount="965">
  <si>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</si>
  <si>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</si>
  <si>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</si>
  <si>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</si>
  <si>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</si>
  <si>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</si>
  <si>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</si>
  <si>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</si>
  <si>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</si>
  <si>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</si>
  <si>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</si>
  <si>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</si>
  <si>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</si>
  <si>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</si>
  <si>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</si>
  <si>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</si>
  <si>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</si>
  <si>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</si>
  <si>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</si>
  <si>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</si>
  <si>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</si>
  <si>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</si>
  <si>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</si>
  <si>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</si>
  <si>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</si>
  <si>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</si>
  <si>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</si>
  <si>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</si>
  <si>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</si>
  <si>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</si>
  <si>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</si>
  <si>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</si>
  <si>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</si>
  <si>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</si>
  <si>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</si>
  <si>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</si>
  <si>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</si>
  <si>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</si>
  <si>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</si>
  <si>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</si>
  <si>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</si>
  <si>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</si>
  <si>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</si>
  <si>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</si>
  <si>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</si>
  <si>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</si>
  <si>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</si>
  <si>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</si>
  <si>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</si>
  <si>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</si>
  <si>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</si>
  <si>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</si>
  <si>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</si>
  <si>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</si>
  <si>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</si>
  <si>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</si>
  <si>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</si>
  <si>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</si>
  <si>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</si>
  <si>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</si>
  <si>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</si>
  <si>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</si>
  <si>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</si>
  <si>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</si>
  <si>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</si>
  <si>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</si>
  <si>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</si>
  <si>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</si>
  <si>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</si>
  <si>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</si>
  <si>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</si>
  <si>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</si>
  <si>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</si>
  <si>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</si>
  <si>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</si>
  <si>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</si>
  <si>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</si>
  <si>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</si>
  <si>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</si>
  <si>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</si>
  <si>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</si>
  <si>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</si>
  <si>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</si>
  <si>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</si>
  <si>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</si>
  <si>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</si>
  <si>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</si>
  <si>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</si>
  <si>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</si>
  <si>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</si>
  <si>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</si>
  <si>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</si>
  <si>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</si>
  <si>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</si>
  <si>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</si>
  <si>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</si>
  <si>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</si>
  <si>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</si>
  <si>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</si>
  <si>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</si>
  <si>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</si>
  <si>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</si>
  <si>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</si>
  <si>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</si>
  <si>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</si>
  <si>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</si>
  <si>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</si>
  <si>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</si>
  <si>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</si>
  <si>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</si>
  <si>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</si>
  <si>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</si>
  <si>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</si>
  <si>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</si>
  <si>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</si>
  <si>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</si>
  <si>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</si>
  <si>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</si>
  <si>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</si>
  <si>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</si>
  <si>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</si>
  <si>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</si>
  <si>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</si>
  <si>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</si>
  <si>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</si>
  <si>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</si>
  <si>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</si>
  <si>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</si>
  <si>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</si>
  <si>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</si>
  <si>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</si>
  <si>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</si>
  <si>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</si>
  <si>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</si>
  <si>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</si>
  <si>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</si>
  <si>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</si>
  <si>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</si>
  <si>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</si>
  <si>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</si>
  <si>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</si>
  <si>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</si>
  <si>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</si>
  <si>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</si>
  <si>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</si>
  <si>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</si>
  <si>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</si>
  <si>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</si>
  <si>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</si>
  <si>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</si>
  <si>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</si>
  <si>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</si>
  <si>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</si>
  <si>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</si>
  <si>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</si>
  <si>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</si>
  <si>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</si>
  <si>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</si>
  <si>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</si>
  <si>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</si>
  <si>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</si>
  <si>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</si>
  <si>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</si>
  <si>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</si>
  <si>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</si>
  <si>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</si>
  <si>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</si>
  <si>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</si>
  <si>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</si>
  <si>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</si>
  <si>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</si>
  <si>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</si>
  <si>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</si>
  <si>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</si>
  <si>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</si>
  <si>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</si>
  <si>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</si>
  <si>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</si>
  <si>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</si>
  <si>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</si>
  <si>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</si>
  <si>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</si>
  <si>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</si>
  <si>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</si>
  <si>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</si>
  <si>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</si>
  <si>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</si>
  <si>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</si>
  <si>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</si>
  <si>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</si>
  <si>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</si>
  <si>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</si>
  <si>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</si>
  <si>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</si>
  <si>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</si>
  <si>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</si>
  <si>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</si>
  <si>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</si>
  <si>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</si>
  <si>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</si>
  <si>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</si>
  <si>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</si>
  <si>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</si>
  <si>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</si>
  <si>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</si>
  <si>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</si>
  <si>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</si>
  <si>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</si>
  <si>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</si>
  <si>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</si>
  <si>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</si>
  <si>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</si>
  <si>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</si>
  <si>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</si>
  <si>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</si>
  <si>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</si>
  <si>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</si>
  <si>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</si>
  <si>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</si>
  <si>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</si>
  <si>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</si>
  <si>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</si>
  <si>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</si>
  <si>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</si>
  <si>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</si>
  <si>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</si>
  <si>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</si>
  <si>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</si>
  <si>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</si>
  <si>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</si>
  <si>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</si>
  <si>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</si>
  <si>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</si>
  <si>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</si>
  <si>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</si>
  <si>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</si>
  <si>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</si>
  <si>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</si>
  <si>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</si>
  <si>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</si>
  <si>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</si>
  <si>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</si>
  <si>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</si>
  <si>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</si>
  <si>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</si>
  <si>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</si>
  <si>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</si>
  <si>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</si>
  <si>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</si>
  <si>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</si>
  <si>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</si>
  <si>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</si>
  <si>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</si>
  <si>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</si>
  <si>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</si>
  <si>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</si>
  <si>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</si>
  <si>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</si>
  <si>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</si>
  <si>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</si>
  <si>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</si>
  <si>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</si>
  <si>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</si>
  <si>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</si>
  <si>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</si>
  <si>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</si>
  <si>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</si>
  <si>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</si>
  <si>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</si>
  <si>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</si>
  <si>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</si>
  <si>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</si>
  <si>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</si>
  <si>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</si>
  <si>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</si>
  <si>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</si>
  <si>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</si>
  <si>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</si>
  <si>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</si>
  <si>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</si>
  <si>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</si>
  <si>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</si>
  <si>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</si>
  <si>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</si>
  <si>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</si>
  <si>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</si>
  <si>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</si>
  <si>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</si>
  <si>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</si>
  <si>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</si>
  <si>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</si>
  <si>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</si>
  <si>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</si>
  <si>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</si>
  <si>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</si>
  <si>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</si>
  <si>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</si>
  <si>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</si>
  <si>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</si>
  <si>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</si>
  <si>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</si>
  <si>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</si>
  <si>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</si>
  <si>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</si>
  <si>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</si>
  <si>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</si>
  <si>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</si>
  <si>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</si>
  <si>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</si>
  <si>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</si>
  <si>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</si>
  <si>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</si>
  <si>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</si>
  <si>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</si>
  <si>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</si>
  <si>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</si>
  <si>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</si>
  <si>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</si>
  <si>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</si>
  <si>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</si>
  <si>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</si>
  <si>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</si>
  <si>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</si>
  <si>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</si>
  <si>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</si>
  <si>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</si>
  <si>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</si>
  <si>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</si>
  <si>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</si>
  <si>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</si>
  <si>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</si>
  <si>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</si>
  <si>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</si>
  <si>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</si>
  <si>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</si>
  <si>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</si>
  <si>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</si>
  <si>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</si>
  <si>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</si>
  <si>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</si>
  <si>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</si>
  <si>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</si>
  <si>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</si>
  <si>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</si>
  <si>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</si>
  <si>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</si>
  <si>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</si>
  <si>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</si>
  <si>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</si>
  <si>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</si>
  <si>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</si>
  <si>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</si>
  <si>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</si>
  <si>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</si>
  <si>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</si>
  <si>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</si>
  <si>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</si>
  <si>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</si>
  <si>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</si>
  <si>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</si>
  <si>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</si>
  <si>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</si>
  <si>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</si>
  <si>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</si>
  <si>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</si>
  <si>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</si>
  <si>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</si>
  <si>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</si>
  <si>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</si>
  <si>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</si>
  <si>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</si>
  <si>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</si>
  <si>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</si>
  <si>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</si>
  <si>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</si>
  <si>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</si>
  <si>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</si>
  <si>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</si>
  <si>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</si>
  <si>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</si>
  <si>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</si>
  <si>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</si>
  <si>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</si>
  <si>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</si>
  <si>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</si>
  <si>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</si>
  <si>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</si>
  <si>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</si>
  <si>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</si>
  <si>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</si>
  <si>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</si>
  <si>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</si>
  <si>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</si>
  <si>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</si>
  <si>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</si>
  <si>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</si>
  <si>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</si>
  <si>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</si>
  <si>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</si>
  <si>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</si>
  <si>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</si>
  <si>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</si>
  <si>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</si>
  <si>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</si>
  <si>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</si>
  <si>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</si>
  <si>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</si>
  <si>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</si>
  <si>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</si>
  <si>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</si>
  <si>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</si>
  <si>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</si>
  <si>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</si>
  <si>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</si>
  <si>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</si>
  <si>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</si>
  <si>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</si>
  <si>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</si>
  <si>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</si>
  <si>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</si>
  <si>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</si>
  <si>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</si>
  <si>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</si>
  <si>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</si>
  <si>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</si>
  <si>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</si>
  <si>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</si>
  <si>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</si>
  <si>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</si>
  <si>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</si>
  <si>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</si>
  <si>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</si>
  <si>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</si>
  <si>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</si>
  <si>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</si>
  <si>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</si>
  <si>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</si>
  <si>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</si>
  <si>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</si>
  <si>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</si>
  <si>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</si>
  <si>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</si>
  <si>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</si>
  <si>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</si>
  <si>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</si>
  <si>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</si>
  <si>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</si>
  <si>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</si>
  <si>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</si>
  <si>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</si>
  <si>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</si>
  <si>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</si>
  <si>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</si>
  <si>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</si>
  <si>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</si>
  <si>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</si>
  <si>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</si>
  <si>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</si>
  <si>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</si>
  <si>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</si>
  <si>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</si>
  <si>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</si>
  <si>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</si>
  <si>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</si>
  <si>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</si>
  <si>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</si>
  <si>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</si>
  <si>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</si>
  <si>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</si>
  <si>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</si>
  <si>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</si>
  <si>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</si>
  <si>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</si>
  <si>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</si>
  <si>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</si>
  <si>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</si>
  <si>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</si>
  <si>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</si>
  <si>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</si>
  <si>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</si>
  <si>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</si>
  <si>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</si>
  <si>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</si>
  <si>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</si>
  <si>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</si>
  <si>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</si>
  <si>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</si>
  <si>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</si>
  <si>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</si>
  <si>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</si>
  <si>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</si>
  <si>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</si>
  <si>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</si>
  <si>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</si>
  <si>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</si>
  <si>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</si>
  <si>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</si>
  <si>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</si>
  <si>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</si>
  <si>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</si>
  <si>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</si>
  <si>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</si>
  <si>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</si>
  <si>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</si>
  <si>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</si>
  <si>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</si>
  <si>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</si>
  <si>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</si>
  <si>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</si>
  <si>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</si>
  <si>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</si>
  <si>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</si>
  <si>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</si>
  <si>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</si>
  <si>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</si>
  <si>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</si>
  <si>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</si>
  <si>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</si>
  <si>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</si>
  <si>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</si>
  <si>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</si>
  <si>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</si>
  <si>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</si>
  <si>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</si>
  <si>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</si>
  <si>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</si>
  <si>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</si>
  <si>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</si>
  <si>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</si>
  <si>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</si>
  <si>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</si>
  <si>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</si>
  <si>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</si>
  <si>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</si>
  <si>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</si>
  <si>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</si>
  <si>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</si>
  <si>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</si>
  <si>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</si>
  <si>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</si>
  <si>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</si>
  <si>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</si>
  <si>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</si>
  <si>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</si>
  <si>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</si>
  <si>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</si>
  <si>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</si>
  <si>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</si>
  <si>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</si>
  <si>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</si>
  <si>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</si>
  <si>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</si>
  <si>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</si>
  <si>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</si>
  <si>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</si>
  <si>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</si>
  <si>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</si>
  <si>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</si>
  <si>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</si>
  <si>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</si>
  <si>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</si>
  <si>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</si>
  <si>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</si>
  <si>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</si>
  <si>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</si>
  <si>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</si>
  <si>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</si>
  <si>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</si>
  <si>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</si>
  <si>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</si>
  <si>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</si>
  <si>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</si>
  <si>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</si>
  <si>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</si>
  <si>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</si>
  <si>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</si>
  <si>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</si>
  <si>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</si>
  <si>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</si>
  <si>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</si>
  <si>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</si>
  <si>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</si>
  <si>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</si>
  <si>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</si>
  <si>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</si>
  <si>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</si>
  <si>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</si>
  <si>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</si>
  <si>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</si>
  <si>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</si>
  <si>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</si>
  <si>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</si>
  <si>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</si>
  <si>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</si>
  <si>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</si>
  <si>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</si>
  <si>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</si>
  <si>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</si>
  <si>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</si>
  <si>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</si>
  <si>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</si>
  <si>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</si>
  <si>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</si>
  <si>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</si>
  <si>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</si>
  <si>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</si>
  <si>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</si>
  <si>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</si>
  <si>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</si>
  <si>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</si>
  <si>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</si>
  <si>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</si>
  <si>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</si>
  <si>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</si>
  <si>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</si>
  <si>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</si>
  <si>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</si>
  <si>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</si>
  <si>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</si>
  <si>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</si>
  <si>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</si>
  <si>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</si>
  <si>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</si>
  <si>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</si>
  <si>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</si>
  <si>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</si>
  <si>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</si>
  <si>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</si>
  <si>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</si>
  <si>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</si>
  <si>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</si>
  <si>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</si>
  <si>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</si>
  <si>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</si>
  <si>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</si>
  <si>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</si>
  <si>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</si>
  <si>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</si>
  <si>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</si>
  <si>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</si>
  <si>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</si>
  <si>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</si>
  <si>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</si>
  <si>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</si>
  <si>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</si>
  <si>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</si>
  <si>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</si>
  <si>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</si>
  <si>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</si>
  <si>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</si>
  <si>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</si>
  <si>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</si>
  <si>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</si>
  <si>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</si>
  <si>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</si>
  <si>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</si>
  <si>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</si>
  <si>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</si>
  <si>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</si>
  <si>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</si>
  <si>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</si>
  <si>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</si>
  <si>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</si>
  <si>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</si>
  <si>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</si>
  <si>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</si>
  <si>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</si>
  <si>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</si>
  <si>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</si>
  <si>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</si>
  <si>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</si>
  <si>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</si>
  <si>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</si>
  <si>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</si>
  <si>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</si>
  <si>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</si>
  <si>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</si>
  <si>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</si>
  <si>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</si>
  <si>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</si>
  <si>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</si>
  <si>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</si>
  <si>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</si>
  <si>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</si>
  <si>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</si>
  <si>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</si>
  <si>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</si>
  <si>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</si>
  <si>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</si>
  <si>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</si>
  <si>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</si>
  <si>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</si>
  <si>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</si>
  <si>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</si>
  <si>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</si>
  <si>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</si>
  <si>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</si>
  <si>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</si>
  <si>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</si>
  <si>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</si>
  <si>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</si>
  <si>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</si>
  <si>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</si>
  <si>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</si>
  <si>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</si>
  <si>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</si>
  <si>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</si>
  <si>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</si>
  <si>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</si>
  <si>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</si>
  <si>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</si>
  <si>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</si>
  <si>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</si>
  <si>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</si>
  <si>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</si>
  <si>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</si>
  <si>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</si>
  <si>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</si>
  <si>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</si>
  <si>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</si>
  <si>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</si>
  <si>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</si>
  <si>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</si>
  <si>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</si>
  <si>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</si>
  <si>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</si>
  <si>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</si>
  <si>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</si>
  <si>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</si>
  <si>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</si>
  <si>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</si>
  <si>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</si>
  <si>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</si>
  <si>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</si>
  <si>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</si>
  <si>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</si>
  <si>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</si>
  <si>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</si>
  <si>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</si>
  <si>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</si>
  <si>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</si>
  <si>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</si>
  <si>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</si>
  <si>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</si>
  <si>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</si>
  <si>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</si>
  <si>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</si>
  <si>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</si>
  <si>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</si>
  <si>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</si>
  <si>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</si>
  <si>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</si>
  <si>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</si>
  <si>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</si>
  <si>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</si>
  <si>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</si>
  <si>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</si>
  <si>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</si>
  <si>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</si>
  <si>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</si>
  <si>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</si>
  <si>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</si>
  <si>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</si>
  <si>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</si>
  <si>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</si>
  <si>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</si>
  <si>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</si>
  <si>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</si>
  <si>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</si>
  <si>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</si>
  <si>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</si>
  <si>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</si>
  <si>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</si>
  <si>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</si>
  <si>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</si>
  <si>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</si>
  <si>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</si>
  <si>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</si>
  <si>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</si>
  <si>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</si>
  <si>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</si>
  <si>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</si>
  <si>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</si>
  <si>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</si>
  <si>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</si>
  <si>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</si>
  <si>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</si>
  <si>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</si>
  <si>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</si>
  <si>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</si>
  <si>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</si>
  <si>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</si>
  <si>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</si>
  <si>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</si>
  <si>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</si>
  <si>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</si>
  <si>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</si>
  <si>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</si>
  <si>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</si>
  <si>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</si>
  <si>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</si>
  <si>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</si>
  <si>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</si>
  <si>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</si>
  <si>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</si>
  <si>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</si>
  <si>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</si>
  <si>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</si>
  <si>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</si>
  <si>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</si>
  <si>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</si>
  <si>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</si>
  <si>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</si>
  <si>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</si>
  <si>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</si>
  <si>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</si>
  <si>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</si>
  <si>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</si>
  <si>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</si>
  <si>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</si>
  <si>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</si>
  <si>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</si>
  <si>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</si>
  <si>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</si>
  <si>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</si>
  <si>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</si>
  <si>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</si>
  <si>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</si>
  <si>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</si>
  <si>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</si>
  <si>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</si>
  <si>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</si>
  <si>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</si>
  <si>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</si>
  <si>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</si>
  <si>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</si>
  <si>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</si>
  <si>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</si>
  <si>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</si>
  <si>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</si>
  <si>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</si>
  <si>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</si>
  <si>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</si>
  <si>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</si>
  <si>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</si>
  <si>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</si>
  <si>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</si>
  <si>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</si>
  <si>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</si>
  <si>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</si>
  <si>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</si>
  <si>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</si>
  <si>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</si>
  <si>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</si>
  <si>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</si>
  <si>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</si>
  <si>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</si>
  <si>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</si>
  <si>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</si>
  <si>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</si>
  <si>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</si>
  <si>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</si>
  <si>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</si>
  <si>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</si>
  <si>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</si>
  <si>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</si>
  <si>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</si>
  <si>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</si>
  <si>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</si>
  <si>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</si>
  <si>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</si>
  <si>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</si>
  <si>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</si>
  <si>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</si>
  <si>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</si>
  <si>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</si>
  <si>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</si>
  <si>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</si>
  <si>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</si>
  <si>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</si>
  <si>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</si>
  <si>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</si>
  <si>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</si>
  <si>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</si>
  <si>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</si>
  <si>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</si>
  <si>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</si>
  <si>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</si>
  <si>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</si>
  <si>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</si>
  <si>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</si>
  <si>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</si>
  <si>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</si>
  <si>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</si>
  <si>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</si>
  <si>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</si>
  <si>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</si>
  <si>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</si>
  <si>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</si>
  <si>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</si>
  <si>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</si>
  <si>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</si>
  <si>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</si>
  <si>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</si>
  <si>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</si>
  <si>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</si>
  <si>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</si>
  <si>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</si>
  <si>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</si>
  <si>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</si>
  <si>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</si>
  <si>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</si>
  <si>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</si>
  <si>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</si>
  <si>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</si>
  <si>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</si>
  <si>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</si>
  <si>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</si>
  <si>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</si>
  <si>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</si>
  <si>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</si>
  <si>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</si>
  <si>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</si>
  <si>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</si>
  <si>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</si>
  <si>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</si>
  <si>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</si>
  <si>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</si>
  <si>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</si>
  <si>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</si>
  <si>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</si>
  <si>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</si>
  <si>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</si>
  <si>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</si>
  <si>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</si>
  <si>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</si>
  <si>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</si>
  <si>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</si>
  <si>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</si>
  <si>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</si>
  <si>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</si>
  <si>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</si>
  <si>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</si>
  <si>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</si>
  <si>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</si>
  <si>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</si>
  <si>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</si>
  <si>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</si>
  <si>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</si>
  <si>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</si>
  <si>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</si>
  <si>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</si>
  <si>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</si>
  <si>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</si>
  <si>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</si>
  <si>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</si>
  <si>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</si>
  <si>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</si>
  <si>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</si>
  <si>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24008</t>
  </si>
  <si>
    <t>BEKKEVOORT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</si>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</sst>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24008</v>
      </c>
      <c r="B6" s="386"/>
      <c r="C6" s="387"/>
    </row>
    <row r="7" spans="1:7" s="384" customFormat="1" ht="15.75" customHeight="1">
      <c r="A7" s="388" t="str">
        <f>txtMunicipality</f>
        <v>BEKKEVOORT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4725.9039999999995</v>
      </c>
      <c r="D10" s="676">
        <f ca="1">tertiair!C16</f>
        <v>0</v>
      </c>
      <c r="E10" s="676">
        <f ca="1">tertiair!D16</f>
        <v>1530.3557499999999</v>
      </c>
      <c r="F10" s="676">
        <f>tertiair!E16</f>
        <v>48.408533738759928</v>
      </c>
      <c r="G10" s="676">
        <f ca="1">tertiair!F16</f>
        <v>840.03605708603686</v>
      </c>
      <c r="H10" s="676">
        <f>tertiair!G16</f>
        <v>0</v>
      </c>
      <c r="I10" s="676">
        <f>tertiair!H16</f>
        <v>0</v>
      </c>
      <c r="J10" s="676">
        <f>tertiair!I16</f>
        <v>0</v>
      </c>
      <c r="K10" s="676">
        <f>tertiair!J16</f>
        <v>0</v>
      </c>
      <c r="L10" s="676">
        <f>tertiair!K16</f>
        <v>0</v>
      </c>
      <c r="M10" s="676">
        <f ca="1">tertiair!L16</f>
        <v>0</v>
      </c>
      <c r="N10" s="676">
        <f>tertiair!M16</f>
        <v>0</v>
      </c>
      <c r="O10" s="676">
        <f ca="1">tertiair!N16</f>
        <v>196.44418522974283</v>
      </c>
      <c r="P10" s="676">
        <f>tertiair!O16</f>
        <v>1.5633333333333335</v>
      </c>
      <c r="Q10" s="677">
        <f>tertiair!P16</f>
        <v>0</v>
      </c>
      <c r="R10" s="679">
        <f ca="1">SUM(C10:Q10)</f>
        <v>7342.7118593878722</v>
      </c>
      <c r="S10" s="68"/>
    </row>
    <row r="11" spans="1:19" s="445" customFormat="1">
      <c r="A11" s="791" t="s">
        <v>220</v>
      </c>
      <c r="B11" s="796"/>
      <c r="C11" s="676">
        <f>huishoudens!B8</f>
        <v>11524.754619907893</v>
      </c>
      <c r="D11" s="676">
        <f>huishoudens!C8</f>
        <v>0</v>
      </c>
      <c r="E11" s="676">
        <f>huishoudens!D8</f>
        <v>6251.3849640000008</v>
      </c>
      <c r="F11" s="676">
        <f>huishoudens!E8</f>
        <v>1039.7484838651294</v>
      </c>
      <c r="G11" s="676">
        <f>huishoudens!F8</f>
        <v>31698.91257557744</v>
      </c>
      <c r="H11" s="676">
        <f>huishoudens!G8</f>
        <v>0</v>
      </c>
      <c r="I11" s="676">
        <f>huishoudens!H8</f>
        <v>0</v>
      </c>
      <c r="J11" s="676">
        <f>huishoudens!I8</f>
        <v>0</v>
      </c>
      <c r="K11" s="676">
        <f>huishoudens!J8</f>
        <v>575.16572332982469</v>
      </c>
      <c r="L11" s="676">
        <f>huishoudens!K8</f>
        <v>0</v>
      </c>
      <c r="M11" s="676">
        <f>huishoudens!L8</f>
        <v>0</v>
      </c>
      <c r="N11" s="676">
        <f>huishoudens!M8</f>
        <v>0</v>
      </c>
      <c r="O11" s="676">
        <f>huishoudens!N8</f>
        <v>3916.1345453890867</v>
      </c>
      <c r="P11" s="676">
        <f>huishoudens!O8</f>
        <v>18.760000000000002</v>
      </c>
      <c r="Q11" s="677">
        <f>huishoudens!P8</f>
        <v>400.4</v>
      </c>
      <c r="R11" s="679">
        <f>SUM(C11:Q11)</f>
        <v>55425.260912069381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8481.2990000000009</v>
      </c>
      <c r="D13" s="676">
        <f>industrie!C18</f>
        <v>0</v>
      </c>
      <c r="E13" s="676">
        <f>industrie!D18</f>
        <v>493.24065999999999</v>
      </c>
      <c r="F13" s="676">
        <f>industrie!E18</f>
        <v>57.914216581359028</v>
      </c>
      <c r="G13" s="676">
        <f>industrie!F18</f>
        <v>5349.3322319370618</v>
      </c>
      <c r="H13" s="676">
        <f>industrie!G18</f>
        <v>0</v>
      </c>
      <c r="I13" s="676">
        <f>industrie!H18</f>
        <v>0</v>
      </c>
      <c r="J13" s="676">
        <f>industrie!I18</f>
        <v>0</v>
      </c>
      <c r="K13" s="676">
        <f>industrie!J18</f>
        <v>3.0494291580289161</v>
      </c>
      <c r="L13" s="676">
        <f>industrie!K18</f>
        <v>0</v>
      </c>
      <c r="M13" s="676">
        <f>industrie!L18</f>
        <v>0</v>
      </c>
      <c r="N13" s="676">
        <f>industrie!M18</f>
        <v>0</v>
      </c>
      <c r="O13" s="676">
        <f>industrie!N18</f>
        <v>530.2369467592074</v>
      </c>
      <c r="P13" s="676">
        <f>industrie!O18</f>
        <v>0</v>
      </c>
      <c r="Q13" s="677">
        <f>industrie!P18</f>
        <v>0</v>
      </c>
      <c r="R13" s="679">
        <f>SUM(C13:Q13)</f>
        <v>14915.072484435657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24731.957619907895</v>
      </c>
      <c r="D16" s="709">
        <f t="shared" ref="D16:R16" ca="1" si="0">SUM(D9:D15)</f>
        <v>0</v>
      </c>
      <c r="E16" s="709">
        <f t="shared" ca="1" si="0"/>
        <v>8274.9813740000009</v>
      </c>
      <c r="F16" s="709">
        <f t="shared" si="0"/>
        <v>1146.0712341852482</v>
      </c>
      <c r="G16" s="709">
        <f t="shared" ca="1" si="0"/>
        <v>37888.280864600536</v>
      </c>
      <c r="H16" s="709">
        <f t="shared" si="0"/>
        <v>0</v>
      </c>
      <c r="I16" s="709">
        <f t="shared" si="0"/>
        <v>0</v>
      </c>
      <c r="J16" s="709">
        <f t="shared" si="0"/>
        <v>0</v>
      </c>
      <c r="K16" s="709">
        <f t="shared" si="0"/>
        <v>578.21515248785363</v>
      </c>
      <c r="L16" s="709">
        <f t="shared" si="0"/>
        <v>0</v>
      </c>
      <c r="M16" s="709">
        <f t="shared" ca="1" si="0"/>
        <v>0</v>
      </c>
      <c r="N16" s="709">
        <f t="shared" si="0"/>
        <v>0</v>
      </c>
      <c r="O16" s="709">
        <f t="shared" ca="1" si="0"/>
        <v>4642.8156773780365</v>
      </c>
      <c r="P16" s="709">
        <f t="shared" si="0"/>
        <v>20.323333333333334</v>
      </c>
      <c r="Q16" s="709">
        <f t="shared" si="0"/>
        <v>400.4</v>
      </c>
      <c r="R16" s="709">
        <f t="shared" ca="1" si="0"/>
        <v>77683.04525589291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5.952004830416084</v>
      </c>
      <c r="D19" s="676">
        <f>transport!C54</f>
        <v>0</v>
      </c>
      <c r="E19" s="676">
        <f>transport!D54</f>
        <v>0</v>
      </c>
      <c r="F19" s="676">
        <f>transport!E54</f>
        <v>0</v>
      </c>
      <c r="G19" s="676">
        <f>transport!F54</f>
        <v>0</v>
      </c>
      <c r="H19" s="676">
        <f>transport!G54</f>
        <v>1187.1390981929621</v>
      </c>
      <c r="I19" s="676">
        <f>transport!H54</f>
        <v>0</v>
      </c>
      <c r="J19" s="676">
        <f>transport!I54</f>
        <v>0</v>
      </c>
      <c r="K19" s="676">
        <f>transport!J54</f>
        <v>0</v>
      </c>
      <c r="L19" s="676">
        <f>transport!K54</f>
        <v>0</v>
      </c>
      <c r="M19" s="676">
        <f>transport!L54</f>
        <v>0</v>
      </c>
      <c r="N19" s="676">
        <f>transport!M54</f>
        <v>52.470283766015491</v>
      </c>
      <c r="O19" s="676">
        <f>transport!N54</f>
        <v>0</v>
      </c>
      <c r="P19" s="676">
        <f>transport!O54</f>
        <v>0</v>
      </c>
      <c r="Q19" s="677">
        <f>transport!P54</f>
        <v>0</v>
      </c>
      <c r="R19" s="679">
        <f>SUM(C19:Q19)</f>
        <v>1245.5613867893937</v>
      </c>
      <c r="S19" s="68"/>
    </row>
    <row r="20" spans="1:19" s="445" customFormat="1">
      <c r="A20" s="791" t="s">
        <v>302</v>
      </c>
      <c r="B20" s="796"/>
      <c r="C20" s="676">
        <f>transport!B14</f>
        <v>8.162713625726413</v>
      </c>
      <c r="D20" s="676">
        <f>transport!C14</f>
        <v>0</v>
      </c>
      <c r="E20" s="676">
        <f>transport!D14</f>
        <v>9.5130770924515229</v>
      </c>
      <c r="F20" s="676">
        <f>transport!E14</f>
        <v>695.36421620370049</v>
      </c>
      <c r="G20" s="676">
        <f>transport!F14</f>
        <v>0</v>
      </c>
      <c r="H20" s="676">
        <f>transport!G14</f>
        <v>157215.34748340677</v>
      </c>
      <c r="I20" s="676">
        <f>transport!H14</f>
        <v>23745.915718356267</v>
      </c>
      <c r="J20" s="676">
        <f>transport!I14</f>
        <v>0</v>
      </c>
      <c r="K20" s="676">
        <f>transport!J14</f>
        <v>0</v>
      </c>
      <c r="L20" s="676">
        <f>transport!K14</f>
        <v>0</v>
      </c>
      <c r="M20" s="676">
        <f>transport!L14</f>
        <v>0</v>
      </c>
      <c r="N20" s="676">
        <f>transport!M14</f>
        <v>8083.0897919147201</v>
      </c>
      <c r="O20" s="676">
        <f>transport!N14</f>
        <v>0</v>
      </c>
      <c r="P20" s="676">
        <f>transport!O14</f>
        <v>0</v>
      </c>
      <c r="Q20" s="677">
        <f>transport!P14</f>
        <v>0</v>
      </c>
      <c r="R20" s="679">
        <f>SUM(C20:Q20)</f>
        <v>189757.39300059964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14.114718456142498</v>
      </c>
      <c r="D22" s="794">
        <f t="shared" ref="D22:R22" si="1">SUM(D18:D21)</f>
        <v>0</v>
      </c>
      <c r="E22" s="794">
        <f t="shared" si="1"/>
        <v>9.5130770924515229</v>
      </c>
      <c r="F22" s="794">
        <f t="shared" si="1"/>
        <v>695.36421620370049</v>
      </c>
      <c r="G22" s="794">
        <f t="shared" si="1"/>
        <v>0</v>
      </c>
      <c r="H22" s="794">
        <f t="shared" si="1"/>
        <v>158402.48658159975</v>
      </c>
      <c r="I22" s="794">
        <f t="shared" si="1"/>
        <v>23745.915718356267</v>
      </c>
      <c r="J22" s="794">
        <f t="shared" si="1"/>
        <v>0</v>
      </c>
      <c r="K22" s="794">
        <f t="shared" si="1"/>
        <v>0</v>
      </c>
      <c r="L22" s="794">
        <f t="shared" si="1"/>
        <v>0</v>
      </c>
      <c r="M22" s="794">
        <f t="shared" si="1"/>
        <v>0</v>
      </c>
      <c r="N22" s="794">
        <f t="shared" si="1"/>
        <v>8135.5600756807353</v>
      </c>
      <c r="O22" s="794">
        <f t="shared" si="1"/>
        <v>0</v>
      </c>
      <c r="P22" s="794">
        <f t="shared" si="1"/>
        <v>0</v>
      </c>
      <c r="Q22" s="794">
        <f t="shared" si="1"/>
        <v>0</v>
      </c>
      <c r="R22" s="794">
        <f t="shared" si="1"/>
        <v>191002.95438738904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2863.1559999999999</v>
      </c>
      <c r="D24" s="676">
        <f>+landbouw!C8</f>
        <v>0</v>
      </c>
      <c r="E24" s="676">
        <f>+landbouw!D8</f>
        <v>57.299550000000004</v>
      </c>
      <c r="F24" s="676">
        <f>+landbouw!E8</f>
        <v>26.97284789744872</v>
      </c>
      <c r="G24" s="676">
        <f>+landbouw!F8</f>
        <v>9343.4282260269083</v>
      </c>
      <c r="H24" s="676">
        <f>+landbouw!G8</f>
        <v>0</v>
      </c>
      <c r="I24" s="676">
        <f>+landbouw!H8</f>
        <v>0</v>
      </c>
      <c r="J24" s="676">
        <f>+landbouw!I8</f>
        <v>0</v>
      </c>
      <c r="K24" s="676">
        <f>+landbouw!J8</f>
        <v>354.18632358810885</v>
      </c>
      <c r="L24" s="676">
        <f>+landbouw!K8</f>
        <v>0</v>
      </c>
      <c r="M24" s="676">
        <f>+landbouw!L8</f>
        <v>0</v>
      </c>
      <c r="N24" s="676">
        <f>+landbouw!M8</f>
        <v>0</v>
      </c>
      <c r="O24" s="676">
        <f>+landbouw!N8</f>
        <v>0</v>
      </c>
      <c r="P24" s="676">
        <f>+landbouw!O8</f>
        <v>0</v>
      </c>
      <c r="Q24" s="677">
        <f>+landbouw!P8</f>
        <v>0</v>
      </c>
      <c r="R24" s="679">
        <f>SUM(C24:Q24)</f>
        <v>12645.042947512466</v>
      </c>
      <c r="S24" s="68"/>
    </row>
    <row r="25" spans="1:19" s="445" customFormat="1" ht="15" thickBot="1">
      <c r="A25" s="813" t="s">
        <v>879</v>
      </c>
      <c r="B25" s="979"/>
      <c r="C25" s="980">
        <f>IF(Onbekend_ele_kWh="---",0,Onbekend_ele_kWh)/1000+IF(REST_rest_ele_kWh="---",0,REST_rest_ele_kWh)/1000</f>
        <v>217.214</v>
      </c>
      <c r="D25" s="980"/>
      <c r="E25" s="980">
        <f>IF(onbekend_gas_kWh="---",0,onbekend_gas_kWh)/1000+IF(REST_rest_gas_kWh="---",0,REST_rest_gas_kWh)/1000</f>
        <v>681.66399999999999</v>
      </c>
      <c r="F25" s="980"/>
      <c r="G25" s="980"/>
      <c r="H25" s="980"/>
      <c r="I25" s="980"/>
      <c r="J25" s="980"/>
      <c r="K25" s="980"/>
      <c r="L25" s="980"/>
      <c r="M25" s="980"/>
      <c r="N25" s="980"/>
      <c r="O25" s="980"/>
      <c r="P25" s="980"/>
      <c r="Q25" s="981"/>
      <c r="R25" s="679">
        <f>SUM(C25:Q25)</f>
        <v>898.87799999999993</v>
      </c>
      <c r="S25" s="68"/>
    </row>
    <row r="26" spans="1:19" s="445" customFormat="1" ht="15.75" thickBot="1">
      <c r="A26" s="682" t="s">
        <v>880</v>
      </c>
      <c r="B26" s="799"/>
      <c r="C26" s="794">
        <f>SUM(C24:C25)</f>
        <v>3080.37</v>
      </c>
      <c r="D26" s="794">
        <f t="shared" ref="D26:R26" si="2">SUM(D24:D25)</f>
        <v>0</v>
      </c>
      <c r="E26" s="794">
        <f t="shared" si="2"/>
        <v>738.96354999999994</v>
      </c>
      <c r="F26" s="794">
        <f t="shared" si="2"/>
        <v>26.97284789744872</v>
      </c>
      <c r="G26" s="794">
        <f t="shared" si="2"/>
        <v>9343.4282260269083</v>
      </c>
      <c r="H26" s="794">
        <f t="shared" si="2"/>
        <v>0</v>
      </c>
      <c r="I26" s="794">
        <f t="shared" si="2"/>
        <v>0</v>
      </c>
      <c r="J26" s="794">
        <f t="shared" si="2"/>
        <v>0</v>
      </c>
      <c r="K26" s="794">
        <f t="shared" si="2"/>
        <v>354.18632358810885</v>
      </c>
      <c r="L26" s="794">
        <f t="shared" si="2"/>
        <v>0</v>
      </c>
      <c r="M26" s="794">
        <f t="shared" si="2"/>
        <v>0</v>
      </c>
      <c r="N26" s="794">
        <f t="shared" si="2"/>
        <v>0</v>
      </c>
      <c r="O26" s="794">
        <f t="shared" si="2"/>
        <v>0</v>
      </c>
      <c r="P26" s="794">
        <f t="shared" si="2"/>
        <v>0</v>
      </c>
      <c r="Q26" s="794">
        <f t="shared" si="2"/>
        <v>0</v>
      </c>
      <c r="R26" s="794">
        <f t="shared" si="2"/>
        <v>13543.920947512466</v>
      </c>
      <c r="S26" s="68"/>
    </row>
    <row r="27" spans="1:19" s="445" customFormat="1" ht="17.25" thickTop="1" thickBot="1">
      <c r="A27" s="683" t="s">
        <v>115</v>
      </c>
      <c r="B27" s="786"/>
      <c r="C27" s="684">
        <f ca="1">C22+C16+C26</f>
        <v>27826.442338364035</v>
      </c>
      <c r="D27" s="684">
        <f t="shared" ref="D27:R27" ca="1" si="3">D22+D16+D26</f>
        <v>0</v>
      </c>
      <c r="E27" s="684">
        <f t="shared" ca="1" si="3"/>
        <v>9023.4580010924528</v>
      </c>
      <c r="F27" s="684">
        <f t="shared" si="3"/>
        <v>1868.4082982863972</v>
      </c>
      <c r="G27" s="684">
        <f t="shared" ca="1" si="3"/>
        <v>47231.709090627446</v>
      </c>
      <c r="H27" s="684">
        <f t="shared" si="3"/>
        <v>158402.48658159975</v>
      </c>
      <c r="I27" s="684">
        <f t="shared" si="3"/>
        <v>23745.915718356267</v>
      </c>
      <c r="J27" s="684">
        <f t="shared" si="3"/>
        <v>0</v>
      </c>
      <c r="K27" s="684">
        <f t="shared" si="3"/>
        <v>932.40147607596248</v>
      </c>
      <c r="L27" s="684">
        <f t="shared" si="3"/>
        <v>0</v>
      </c>
      <c r="M27" s="684">
        <f t="shared" ca="1" si="3"/>
        <v>0</v>
      </c>
      <c r="N27" s="684">
        <f t="shared" si="3"/>
        <v>8135.5600756807353</v>
      </c>
      <c r="O27" s="684">
        <f t="shared" ca="1" si="3"/>
        <v>4642.8156773780365</v>
      </c>
      <c r="P27" s="684">
        <f t="shared" si="3"/>
        <v>20.323333333333334</v>
      </c>
      <c r="Q27" s="684">
        <f t="shared" si="3"/>
        <v>400.4</v>
      </c>
      <c r="R27" s="684">
        <f t="shared" ca="1" si="3"/>
        <v>282229.92059079441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609.09612426912906</v>
      </c>
      <c r="D40" s="676">
        <f ca="1">tertiair!C20</f>
        <v>0</v>
      </c>
      <c r="E40" s="676">
        <f ca="1">tertiair!D20</f>
        <v>309.13186150000001</v>
      </c>
      <c r="F40" s="676">
        <f>tertiair!E20</f>
        <v>10.988737158698504</v>
      </c>
      <c r="G40" s="676">
        <f ca="1">tertiair!F20</f>
        <v>224.28962724197186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1153.5063501697996</v>
      </c>
    </row>
    <row r="41" spans="1:18">
      <c r="A41" s="804" t="s">
        <v>220</v>
      </c>
      <c r="B41" s="811"/>
      <c r="C41" s="676">
        <f ca="1">huishoudens!B12</f>
        <v>1485.363090773456</v>
      </c>
      <c r="D41" s="676">
        <f ca="1">huishoudens!C12</f>
        <v>0</v>
      </c>
      <c r="E41" s="676">
        <f>huishoudens!D12</f>
        <v>1262.7797627280002</v>
      </c>
      <c r="F41" s="676">
        <f>huishoudens!E12</f>
        <v>236.02290583738437</v>
      </c>
      <c r="G41" s="676">
        <f>huishoudens!F12</f>
        <v>8463.609657679177</v>
      </c>
      <c r="H41" s="676">
        <f>huishoudens!G12</f>
        <v>0</v>
      </c>
      <c r="I41" s="676">
        <f>huishoudens!H12</f>
        <v>0</v>
      </c>
      <c r="J41" s="676">
        <f>huishoudens!I12</f>
        <v>0</v>
      </c>
      <c r="K41" s="676">
        <f>huishoudens!J12</f>
        <v>203.60866605875793</v>
      </c>
      <c r="L41" s="676">
        <f>huishoudens!K12</f>
        <v>0</v>
      </c>
      <c r="M41" s="676">
        <f>huishoudens!L12</f>
        <v>0</v>
      </c>
      <c r="N41" s="676">
        <f>huishoudens!M12</f>
        <v>0</v>
      </c>
      <c r="O41" s="676">
        <f>huishoudens!N12</f>
        <v>0</v>
      </c>
      <c r="P41" s="676">
        <f>huishoudens!O12</f>
        <v>0</v>
      </c>
      <c r="Q41" s="751">
        <f>huishoudens!P12</f>
        <v>0</v>
      </c>
      <c r="R41" s="832">
        <f t="shared" ca="1" si="4"/>
        <v>11651.384083076775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1093.1086094147579</v>
      </c>
      <c r="D43" s="676">
        <f ca="1">industrie!C22</f>
        <v>0</v>
      </c>
      <c r="E43" s="676">
        <f>industrie!D22</f>
        <v>99.63461332</v>
      </c>
      <c r="F43" s="676">
        <f>industrie!E22</f>
        <v>13.1465271639685</v>
      </c>
      <c r="G43" s="676">
        <f>industrie!F22</f>
        <v>1428.2717059271956</v>
      </c>
      <c r="H43" s="676">
        <f>industrie!G22</f>
        <v>0</v>
      </c>
      <c r="I43" s="676">
        <f>industrie!H22</f>
        <v>0</v>
      </c>
      <c r="J43" s="676">
        <f>industrie!I22</f>
        <v>0</v>
      </c>
      <c r="K43" s="676">
        <f>industrie!J22</f>
        <v>1.0794979219422363</v>
      </c>
      <c r="L43" s="676">
        <f>industrie!K22</f>
        <v>0</v>
      </c>
      <c r="M43" s="676">
        <f>industrie!L22</f>
        <v>0</v>
      </c>
      <c r="N43" s="676">
        <f>industrie!M22</f>
        <v>0</v>
      </c>
      <c r="O43" s="676">
        <f>industrie!N22</f>
        <v>0</v>
      </c>
      <c r="P43" s="676">
        <f>industrie!O22</f>
        <v>0</v>
      </c>
      <c r="Q43" s="751">
        <f>industrie!P22</f>
        <v>0</v>
      </c>
      <c r="R43" s="831">
        <f t="shared" ca="1" si="4"/>
        <v>2635.2409537478643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3187.5678244573428</v>
      </c>
      <c r="D46" s="709">
        <f t="shared" ref="D46:Q46" ca="1" si="5">SUM(D39:D45)</f>
        <v>0</v>
      </c>
      <c r="E46" s="709">
        <f t="shared" ca="1" si="5"/>
        <v>1671.5462375480001</v>
      </c>
      <c r="F46" s="709">
        <f t="shared" si="5"/>
        <v>260.15817016005138</v>
      </c>
      <c r="G46" s="709">
        <f t="shared" ca="1" si="5"/>
        <v>10116.170990848344</v>
      </c>
      <c r="H46" s="709">
        <f t="shared" si="5"/>
        <v>0</v>
      </c>
      <c r="I46" s="709">
        <f t="shared" si="5"/>
        <v>0</v>
      </c>
      <c r="J46" s="709">
        <f t="shared" si="5"/>
        <v>0</v>
      </c>
      <c r="K46" s="709">
        <f t="shared" si="5"/>
        <v>204.68816398070018</v>
      </c>
      <c r="L46" s="709">
        <f t="shared" si="5"/>
        <v>0</v>
      </c>
      <c r="M46" s="709">
        <f t="shared" ca="1" si="5"/>
        <v>0</v>
      </c>
      <c r="N46" s="709">
        <f t="shared" si="5"/>
        <v>0</v>
      </c>
      <c r="O46" s="709">
        <f t="shared" ca="1" si="5"/>
        <v>0</v>
      </c>
      <c r="P46" s="709">
        <f t="shared" si="5"/>
        <v>0</v>
      </c>
      <c r="Q46" s="709">
        <f t="shared" si="5"/>
        <v>0</v>
      </c>
      <c r="R46" s="709">
        <f ca="1">SUM(R39:R45)</f>
        <v>15440.131386994439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0.76712160759879433</v>
      </c>
      <c r="D49" s="676">
        <f ca="1">transport!C58</f>
        <v>0</v>
      </c>
      <c r="E49" s="676">
        <f>transport!D58</f>
        <v>0</v>
      </c>
      <c r="F49" s="676">
        <f>transport!E58</f>
        <v>0</v>
      </c>
      <c r="G49" s="676">
        <f>transport!F58</f>
        <v>0</v>
      </c>
      <c r="H49" s="676">
        <f>transport!G58</f>
        <v>316.96613921752089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317.73326082511966</v>
      </c>
    </row>
    <row r="50" spans="1:18">
      <c r="A50" s="807" t="s">
        <v>302</v>
      </c>
      <c r="B50" s="817"/>
      <c r="C50" s="986">
        <f ca="1">transport!B18</f>
        <v>1.0520478691375807</v>
      </c>
      <c r="D50" s="986">
        <f>transport!C18</f>
        <v>0</v>
      </c>
      <c r="E50" s="986">
        <f>transport!D18</f>
        <v>1.9216415726752079</v>
      </c>
      <c r="F50" s="986">
        <f>transport!E18</f>
        <v>157.84767707824003</v>
      </c>
      <c r="G50" s="986">
        <f>transport!F18</f>
        <v>0</v>
      </c>
      <c r="H50" s="986">
        <f>transport!G18</f>
        <v>41976.497778069614</v>
      </c>
      <c r="I50" s="986">
        <f>transport!H18</f>
        <v>5912.7330138707102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48050.052158460378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1.8191694767363751</v>
      </c>
      <c r="D52" s="709">
        <f t="shared" ref="D52:Q52" ca="1" si="6">SUM(D48:D51)</f>
        <v>0</v>
      </c>
      <c r="E52" s="709">
        <f t="shared" si="6"/>
        <v>1.9216415726752079</v>
      </c>
      <c r="F52" s="709">
        <f t="shared" si="6"/>
        <v>157.84767707824003</v>
      </c>
      <c r="G52" s="709">
        <f t="shared" si="6"/>
        <v>0</v>
      </c>
      <c r="H52" s="709">
        <f t="shared" si="6"/>
        <v>42293.463917287132</v>
      </c>
      <c r="I52" s="709">
        <f t="shared" si="6"/>
        <v>5912.7330138707102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48367.785419285494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369.01664163679646</v>
      </c>
      <c r="D54" s="986">
        <f ca="1">+landbouw!C12</f>
        <v>0</v>
      </c>
      <c r="E54" s="986">
        <f>+landbouw!D12</f>
        <v>11.574509100000002</v>
      </c>
      <c r="F54" s="986">
        <f>+landbouw!E12</f>
        <v>6.1228364727208593</v>
      </c>
      <c r="G54" s="986">
        <f>+landbouw!F12</f>
        <v>2494.6953363491848</v>
      </c>
      <c r="H54" s="986">
        <f>+landbouw!G12</f>
        <v>0</v>
      </c>
      <c r="I54" s="986">
        <f>+landbouw!H12</f>
        <v>0</v>
      </c>
      <c r="J54" s="986">
        <f>+landbouw!I12</f>
        <v>0</v>
      </c>
      <c r="K54" s="986">
        <f>+landbouw!J12</f>
        <v>125.38195855019053</v>
      </c>
      <c r="L54" s="986">
        <f>+landbouw!K12</f>
        <v>0</v>
      </c>
      <c r="M54" s="986">
        <f>+landbouw!L12</f>
        <v>0</v>
      </c>
      <c r="N54" s="986">
        <f>+landbouw!M12</f>
        <v>0</v>
      </c>
      <c r="O54" s="986">
        <f>+landbouw!N12</f>
        <v>0</v>
      </c>
      <c r="P54" s="986">
        <f>+landbouw!O12</f>
        <v>0</v>
      </c>
      <c r="Q54" s="987">
        <f>+landbouw!P12</f>
        <v>0</v>
      </c>
      <c r="R54" s="708">
        <f ca="1">SUM(C54:Q54)</f>
        <v>3006.7912821088926</v>
      </c>
    </row>
    <row r="55" spans="1:18" ht="15" thickBot="1">
      <c r="A55" s="807" t="s">
        <v>879</v>
      </c>
      <c r="B55" s="817"/>
      <c r="C55" s="986">
        <f ca="1">C25*'EF ele_warmte'!B12</f>
        <v>27.995533878173283</v>
      </c>
      <c r="D55" s="986"/>
      <c r="E55" s="986">
        <f>E25*EF_CO2_aardgas</f>
        <v>137.69612800000002</v>
      </c>
      <c r="F55" s="986"/>
      <c r="G55" s="986"/>
      <c r="H55" s="986"/>
      <c r="I55" s="986"/>
      <c r="J55" s="986"/>
      <c r="K55" s="986"/>
      <c r="L55" s="986"/>
      <c r="M55" s="986"/>
      <c r="N55" s="986"/>
      <c r="O55" s="986"/>
      <c r="P55" s="986"/>
      <c r="Q55" s="987"/>
      <c r="R55" s="708">
        <f ca="1">SUM(C55:Q55)</f>
        <v>165.69166187817331</v>
      </c>
    </row>
    <row r="56" spans="1:18" ht="15.75" thickBot="1">
      <c r="A56" s="805" t="s">
        <v>880</v>
      </c>
      <c r="B56" s="818"/>
      <c r="C56" s="709">
        <f ca="1">SUM(C54:C55)</f>
        <v>397.01217551496973</v>
      </c>
      <c r="D56" s="709">
        <f t="shared" ref="D56:Q56" ca="1" si="7">SUM(D54:D55)</f>
        <v>0</v>
      </c>
      <c r="E56" s="709">
        <f t="shared" si="7"/>
        <v>149.27063710000002</v>
      </c>
      <c r="F56" s="709">
        <f t="shared" si="7"/>
        <v>6.1228364727208593</v>
      </c>
      <c r="G56" s="709">
        <f t="shared" si="7"/>
        <v>2494.6953363491848</v>
      </c>
      <c r="H56" s="709">
        <f t="shared" si="7"/>
        <v>0</v>
      </c>
      <c r="I56" s="709">
        <f t="shared" si="7"/>
        <v>0</v>
      </c>
      <c r="J56" s="709">
        <f t="shared" si="7"/>
        <v>0</v>
      </c>
      <c r="K56" s="709">
        <f t="shared" si="7"/>
        <v>125.38195855019053</v>
      </c>
      <c r="L56" s="709">
        <f t="shared" si="7"/>
        <v>0</v>
      </c>
      <c r="M56" s="709">
        <f t="shared" si="7"/>
        <v>0</v>
      </c>
      <c r="N56" s="709">
        <f t="shared" si="7"/>
        <v>0</v>
      </c>
      <c r="O56" s="709">
        <f t="shared" si="7"/>
        <v>0</v>
      </c>
      <c r="P56" s="709">
        <f t="shared" si="7"/>
        <v>0</v>
      </c>
      <c r="Q56" s="710">
        <f t="shared" si="7"/>
        <v>0</v>
      </c>
      <c r="R56" s="711">
        <f ca="1">SUM(R54:R55)</f>
        <v>3172.4829439870659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3586.3991694490492</v>
      </c>
      <c r="D61" s="717">
        <f t="shared" ref="D61:Q61" ca="1" si="8">D46+D52+D56</f>
        <v>0</v>
      </c>
      <c r="E61" s="717">
        <f t="shared" ca="1" si="8"/>
        <v>1822.7385162206754</v>
      </c>
      <c r="F61" s="717">
        <f t="shared" si="8"/>
        <v>424.12868371101223</v>
      </c>
      <c r="G61" s="717">
        <f t="shared" ca="1" si="8"/>
        <v>12610.866327197529</v>
      </c>
      <c r="H61" s="717">
        <f t="shared" si="8"/>
        <v>42293.463917287132</v>
      </c>
      <c r="I61" s="717">
        <f t="shared" si="8"/>
        <v>5912.7330138707102</v>
      </c>
      <c r="J61" s="717">
        <f t="shared" si="8"/>
        <v>0</v>
      </c>
      <c r="K61" s="717">
        <f t="shared" si="8"/>
        <v>330.07012253089073</v>
      </c>
      <c r="L61" s="717">
        <f t="shared" si="8"/>
        <v>0</v>
      </c>
      <c r="M61" s="717">
        <f t="shared" ca="1" si="8"/>
        <v>0</v>
      </c>
      <c r="N61" s="717">
        <f t="shared" si="8"/>
        <v>0</v>
      </c>
      <c r="O61" s="717">
        <f t="shared" ca="1" si="8"/>
        <v>0</v>
      </c>
      <c r="P61" s="717">
        <f t="shared" si="8"/>
        <v>0</v>
      </c>
      <c r="Q61" s="717">
        <f t="shared" si="8"/>
        <v>0</v>
      </c>
      <c r="R61" s="717">
        <f ca="1">R46+R52+R56</f>
        <v>66980.399750266995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0.12888457409823162</v>
      </c>
      <c r="D63" s="761">
        <f t="shared" ca="1" si="9"/>
        <v>0</v>
      </c>
      <c r="E63" s="988">
        <f t="shared" ca="1" si="9"/>
        <v>0.20199999999999999</v>
      </c>
      <c r="F63" s="761">
        <f t="shared" si="9"/>
        <v>0.22700000000000004</v>
      </c>
      <c r="G63" s="761">
        <f t="shared" ca="1" si="9"/>
        <v>0.26700000000000002</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7615.1509853031503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3983.2408125674501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11598.391797870601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11524.754619907893</v>
      </c>
      <c r="C4" s="449">
        <f>huishoudens!C8</f>
        <v>0</v>
      </c>
      <c r="D4" s="449">
        <f>huishoudens!D8</f>
        <v>6251.3849640000008</v>
      </c>
      <c r="E4" s="449">
        <f>huishoudens!E8</f>
        <v>1039.7484838651294</v>
      </c>
      <c r="F4" s="449">
        <f>huishoudens!F8</f>
        <v>31698.91257557744</v>
      </c>
      <c r="G4" s="449">
        <f>huishoudens!G8</f>
        <v>0</v>
      </c>
      <c r="H4" s="449">
        <f>huishoudens!H8</f>
        <v>0</v>
      </c>
      <c r="I4" s="449">
        <f>huishoudens!I8</f>
        <v>0</v>
      </c>
      <c r="J4" s="449">
        <f>huishoudens!J8</f>
        <v>575.16572332982469</v>
      </c>
      <c r="K4" s="449">
        <f>huishoudens!K8</f>
        <v>0</v>
      </c>
      <c r="L4" s="449">
        <f>huishoudens!L8</f>
        <v>0</v>
      </c>
      <c r="M4" s="449">
        <f>huishoudens!M8</f>
        <v>0</v>
      </c>
      <c r="N4" s="449">
        <f>huishoudens!N8</f>
        <v>3916.1345453890867</v>
      </c>
      <c r="O4" s="449">
        <f>huishoudens!O8</f>
        <v>18.760000000000002</v>
      </c>
      <c r="P4" s="450">
        <f>huishoudens!P8</f>
        <v>400.4</v>
      </c>
      <c r="Q4" s="451">
        <f>SUM(B4:P4)</f>
        <v>55425.260912069381</v>
      </c>
    </row>
    <row r="5" spans="1:17">
      <c r="A5" s="448" t="s">
        <v>155</v>
      </c>
      <c r="B5" s="449">
        <f ca="1">tertiair!B16</f>
        <v>4230.6079999999993</v>
      </c>
      <c r="C5" s="449">
        <f ca="1">tertiair!C16</f>
        <v>0</v>
      </c>
      <c r="D5" s="449">
        <f ca="1">tertiair!D16</f>
        <v>1530.3557499999999</v>
      </c>
      <c r="E5" s="449">
        <f>tertiair!E16</f>
        <v>48.408533738759928</v>
      </c>
      <c r="F5" s="449">
        <f ca="1">tertiair!F16</f>
        <v>840.03605708603686</v>
      </c>
      <c r="G5" s="449">
        <f>tertiair!G16</f>
        <v>0</v>
      </c>
      <c r="H5" s="449">
        <f>tertiair!H16</f>
        <v>0</v>
      </c>
      <c r="I5" s="449">
        <f>tertiair!I16</f>
        <v>0</v>
      </c>
      <c r="J5" s="449">
        <f>tertiair!J16</f>
        <v>0</v>
      </c>
      <c r="K5" s="449">
        <f>tertiair!K16</f>
        <v>0</v>
      </c>
      <c r="L5" s="449">
        <f ca="1">tertiair!L16</f>
        <v>0</v>
      </c>
      <c r="M5" s="449">
        <f>tertiair!M16</f>
        <v>0</v>
      </c>
      <c r="N5" s="449">
        <f ca="1">tertiair!N16</f>
        <v>196.44418522974283</v>
      </c>
      <c r="O5" s="449">
        <f>tertiair!O16</f>
        <v>1.5633333333333335</v>
      </c>
      <c r="P5" s="450">
        <f>tertiair!P16</f>
        <v>0</v>
      </c>
      <c r="Q5" s="448">
        <f t="shared" ref="Q5:Q14" ca="1" si="0">SUM(B5:P5)</f>
        <v>6847.4158593878719</v>
      </c>
    </row>
    <row r="6" spans="1:17">
      <c r="A6" s="448" t="s">
        <v>193</v>
      </c>
      <c r="B6" s="449">
        <f>'openbare verlichting'!B8</f>
        <v>495.29599999999999</v>
      </c>
      <c r="C6" s="449"/>
      <c r="D6" s="449"/>
      <c r="E6" s="449"/>
      <c r="F6" s="449"/>
      <c r="G6" s="449"/>
      <c r="H6" s="449"/>
      <c r="I6" s="449"/>
      <c r="J6" s="449"/>
      <c r="K6" s="449"/>
      <c r="L6" s="449"/>
      <c r="M6" s="449"/>
      <c r="N6" s="449"/>
      <c r="O6" s="449"/>
      <c r="P6" s="450"/>
      <c r="Q6" s="448">
        <f t="shared" si="0"/>
        <v>495.29599999999999</v>
      </c>
    </row>
    <row r="7" spans="1:17">
      <c r="A7" s="448" t="s">
        <v>111</v>
      </c>
      <c r="B7" s="449">
        <f>landbouw!B8</f>
        <v>2863.1559999999999</v>
      </c>
      <c r="C7" s="449">
        <f>landbouw!C8</f>
        <v>0</v>
      </c>
      <c r="D7" s="449">
        <f>landbouw!D8</f>
        <v>57.299550000000004</v>
      </c>
      <c r="E7" s="449">
        <f>landbouw!E8</f>
        <v>26.97284789744872</v>
      </c>
      <c r="F7" s="449">
        <f>landbouw!F8</f>
        <v>9343.4282260269083</v>
      </c>
      <c r="G7" s="449">
        <f>landbouw!G8</f>
        <v>0</v>
      </c>
      <c r="H7" s="449">
        <f>landbouw!H8</f>
        <v>0</v>
      </c>
      <c r="I7" s="449">
        <f>landbouw!I8</f>
        <v>0</v>
      </c>
      <c r="J7" s="449">
        <f>landbouw!J8</f>
        <v>354.18632358810885</v>
      </c>
      <c r="K7" s="449">
        <f>landbouw!K8</f>
        <v>0</v>
      </c>
      <c r="L7" s="449">
        <f>landbouw!L8</f>
        <v>0</v>
      </c>
      <c r="M7" s="449">
        <f>landbouw!M8</f>
        <v>0</v>
      </c>
      <c r="N7" s="449">
        <f>landbouw!N8</f>
        <v>0</v>
      </c>
      <c r="O7" s="449">
        <f>landbouw!O8</f>
        <v>0</v>
      </c>
      <c r="P7" s="450">
        <f>landbouw!P8</f>
        <v>0</v>
      </c>
      <c r="Q7" s="448">
        <f t="shared" si="0"/>
        <v>12645.042947512466</v>
      </c>
    </row>
    <row r="8" spans="1:17">
      <c r="A8" s="448" t="s">
        <v>671</v>
      </c>
      <c r="B8" s="449">
        <f>industrie!B18</f>
        <v>8481.2990000000009</v>
      </c>
      <c r="C8" s="449">
        <f>industrie!C18</f>
        <v>0</v>
      </c>
      <c r="D8" s="449">
        <f>industrie!D18</f>
        <v>493.24065999999999</v>
      </c>
      <c r="E8" s="449">
        <f>industrie!E18</f>
        <v>57.914216581359028</v>
      </c>
      <c r="F8" s="449">
        <f>industrie!F18</f>
        <v>5349.3322319370618</v>
      </c>
      <c r="G8" s="449">
        <f>industrie!G18</f>
        <v>0</v>
      </c>
      <c r="H8" s="449">
        <f>industrie!H18</f>
        <v>0</v>
      </c>
      <c r="I8" s="449">
        <f>industrie!I18</f>
        <v>0</v>
      </c>
      <c r="J8" s="449">
        <f>industrie!J18</f>
        <v>3.0494291580289161</v>
      </c>
      <c r="K8" s="449">
        <f>industrie!K18</f>
        <v>0</v>
      </c>
      <c r="L8" s="449">
        <f>industrie!L18</f>
        <v>0</v>
      </c>
      <c r="M8" s="449">
        <f>industrie!M18</f>
        <v>0</v>
      </c>
      <c r="N8" s="449">
        <f>industrie!N18</f>
        <v>530.2369467592074</v>
      </c>
      <c r="O8" s="449">
        <f>industrie!O18</f>
        <v>0</v>
      </c>
      <c r="P8" s="450">
        <f>industrie!P18</f>
        <v>0</v>
      </c>
      <c r="Q8" s="448">
        <f t="shared" si="0"/>
        <v>14915.072484435657</v>
      </c>
    </row>
    <row r="9" spans="1:17" s="454" customFormat="1">
      <c r="A9" s="452" t="s">
        <v>568</v>
      </c>
      <c r="B9" s="453">
        <f>transport!B14</f>
        <v>8.162713625726413</v>
      </c>
      <c r="C9" s="453">
        <f>transport!C14</f>
        <v>0</v>
      </c>
      <c r="D9" s="453">
        <f>transport!D14</f>
        <v>9.5130770924515229</v>
      </c>
      <c r="E9" s="453">
        <f>transport!E14</f>
        <v>695.36421620370049</v>
      </c>
      <c r="F9" s="453">
        <f>transport!F14</f>
        <v>0</v>
      </c>
      <c r="G9" s="453">
        <f>transport!G14</f>
        <v>157215.34748340677</v>
      </c>
      <c r="H9" s="453">
        <f>transport!H14</f>
        <v>23745.915718356267</v>
      </c>
      <c r="I9" s="453">
        <f>transport!I14</f>
        <v>0</v>
      </c>
      <c r="J9" s="453">
        <f>transport!J14</f>
        <v>0</v>
      </c>
      <c r="K9" s="453">
        <f>transport!K14</f>
        <v>0</v>
      </c>
      <c r="L9" s="453">
        <f>transport!L14</f>
        <v>0</v>
      </c>
      <c r="M9" s="453">
        <f>transport!M14</f>
        <v>8083.0897919147201</v>
      </c>
      <c r="N9" s="453">
        <f>transport!N14</f>
        <v>0</v>
      </c>
      <c r="O9" s="453">
        <f>transport!O14</f>
        <v>0</v>
      </c>
      <c r="P9" s="453">
        <f>transport!P14</f>
        <v>0</v>
      </c>
      <c r="Q9" s="452">
        <f>SUM(B9:P9)</f>
        <v>189757.39300059964</v>
      </c>
    </row>
    <row r="10" spans="1:17">
      <c r="A10" s="448" t="s">
        <v>558</v>
      </c>
      <c r="B10" s="449">
        <f>transport!B54</f>
        <v>5.952004830416084</v>
      </c>
      <c r="C10" s="449">
        <f>transport!C54</f>
        <v>0</v>
      </c>
      <c r="D10" s="449">
        <f>transport!D54</f>
        <v>0</v>
      </c>
      <c r="E10" s="449">
        <f>transport!E54</f>
        <v>0</v>
      </c>
      <c r="F10" s="449">
        <f>transport!F54</f>
        <v>0</v>
      </c>
      <c r="G10" s="449">
        <f>transport!G54</f>
        <v>1187.1390981929621</v>
      </c>
      <c r="H10" s="449">
        <f>transport!H54</f>
        <v>0</v>
      </c>
      <c r="I10" s="449">
        <f>transport!I54</f>
        <v>0</v>
      </c>
      <c r="J10" s="449">
        <f>transport!J54</f>
        <v>0</v>
      </c>
      <c r="K10" s="449">
        <f>transport!K54</f>
        <v>0</v>
      </c>
      <c r="L10" s="449">
        <f>transport!L54</f>
        <v>0</v>
      </c>
      <c r="M10" s="449">
        <f>transport!M54</f>
        <v>52.470283766015491</v>
      </c>
      <c r="N10" s="449">
        <f>transport!N54</f>
        <v>0</v>
      </c>
      <c r="O10" s="449">
        <f>transport!O54</f>
        <v>0</v>
      </c>
      <c r="P10" s="450">
        <f>transport!P54</f>
        <v>0</v>
      </c>
      <c r="Q10" s="448">
        <f t="shared" si="0"/>
        <v>1245.5613867893937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217.214</v>
      </c>
      <c r="C14" s="456"/>
      <c r="D14" s="456">
        <f>'SEAP template'!E25</f>
        <v>681.66399999999999</v>
      </c>
      <c r="E14" s="456"/>
      <c r="F14" s="456"/>
      <c r="G14" s="456"/>
      <c r="H14" s="456"/>
      <c r="I14" s="456"/>
      <c r="J14" s="456"/>
      <c r="K14" s="456"/>
      <c r="L14" s="456"/>
      <c r="M14" s="456"/>
      <c r="N14" s="456"/>
      <c r="O14" s="456"/>
      <c r="P14" s="457"/>
      <c r="Q14" s="448">
        <f t="shared" si="0"/>
        <v>898.87799999999993</v>
      </c>
    </row>
    <row r="15" spans="1:17" s="461" customFormat="1">
      <c r="A15" s="458" t="s">
        <v>562</v>
      </c>
      <c r="B15" s="459">
        <f ca="1">SUM(B4:B14)</f>
        <v>27826.442338364039</v>
      </c>
      <c r="C15" s="459">
        <f t="shared" ref="C15:Q15" ca="1" si="1">SUM(C4:C14)</f>
        <v>0</v>
      </c>
      <c r="D15" s="459">
        <f t="shared" ca="1" si="1"/>
        <v>9023.4580010924528</v>
      </c>
      <c r="E15" s="459">
        <f t="shared" si="1"/>
        <v>1868.4082982863974</v>
      </c>
      <c r="F15" s="459">
        <f t="shared" ca="1" si="1"/>
        <v>47231.709090627446</v>
      </c>
      <c r="G15" s="459">
        <f t="shared" si="1"/>
        <v>158402.48658159975</v>
      </c>
      <c r="H15" s="459">
        <f t="shared" si="1"/>
        <v>23745.915718356267</v>
      </c>
      <c r="I15" s="459">
        <f t="shared" si="1"/>
        <v>0</v>
      </c>
      <c r="J15" s="459">
        <f t="shared" si="1"/>
        <v>932.40147607596248</v>
      </c>
      <c r="K15" s="459">
        <f t="shared" si="1"/>
        <v>0</v>
      </c>
      <c r="L15" s="459">
        <f t="shared" ca="1" si="1"/>
        <v>0</v>
      </c>
      <c r="M15" s="459">
        <f t="shared" si="1"/>
        <v>8135.5600756807353</v>
      </c>
      <c r="N15" s="459">
        <f t="shared" ca="1" si="1"/>
        <v>4642.8156773780365</v>
      </c>
      <c r="O15" s="459">
        <f t="shared" si="1"/>
        <v>20.323333333333334</v>
      </c>
      <c r="P15" s="459">
        <f t="shared" si="1"/>
        <v>400.4</v>
      </c>
      <c r="Q15" s="459">
        <f t="shared" ca="1" si="1"/>
        <v>282229.92059079441</v>
      </c>
    </row>
    <row r="17" spans="1:17">
      <c r="A17" s="462" t="s">
        <v>563</v>
      </c>
      <c r="B17" s="766">
        <f ca="1">huishoudens!B10</f>
        <v>0.12888457409823162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1485.363090773456</v>
      </c>
      <c r="C22" s="449">
        <f t="shared" ref="C22:C32" ca="1" si="3">C4*$C$17</f>
        <v>0</v>
      </c>
      <c r="D22" s="449">
        <f t="shared" ref="D22:D32" si="4">D4*$D$17</f>
        <v>1262.7797627280002</v>
      </c>
      <c r="E22" s="449">
        <f t="shared" ref="E22:E32" si="5">E4*$E$17</f>
        <v>236.02290583738437</v>
      </c>
      <c r="F22" s="449">
        <f t="shared" ref="F22:F32" si="6">F4*$F$17</f>
        <v>8463.609657679177</v>
      </c>
      <c r="G22" s="449">
        <f t="shared" ref="G22:G32" si="7">G4*$G$17</f>
        <v>0</v>
      </c>
      <c r="H22" s="449">
        <f t="shared" ref="H22:H32" si="8">H4*$H$17</f>
        <v>0</v>
      </c>
      <c r="I22" s="449">
        <f t="shared" ref="I22:I32" si="9">I4*$I$17</f>
        <v>0</v>
      </c>
      <c r="J22" s="449">
        <f t="shared" ref="J22:J32" si="10">J4*$J$17</f>
        <v>203.60866605875793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11651.384083076775</v>
      </c>
    </row>
    <row r="23" spans="1:17">
      <c r="A23" s="448" t="s">
        <v>155</v>
      </c>
      <c r="B23" s="449">
        <f t="shared" ca="1" si="2"/>
        <v>545.26011025657135</v>
      </c>
      <c r="C23" s="449">
        <f t="shared" ca="1" si="3"/>
        <v>0</v>
      </c>
      <c r="D23" s="449">
        <f t="shared" ca="1" si="4"/>
        <v>309.13186150000001</v>
      </c>
      <c r="E23" s="449">
        <f t="shared" si="5"/>
        <v>10.988737158698504</v>
      </c>
      <c r="F23" s="449">
        <f t="shared" ca="1" si="6"/>
        <v>224.28962724197186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1089.6703361572418</v>
      </c>
    </row>
    <row r="24" spans="1:17">
      <c r="A24" s="448" t="s">
        <v>193</v>
      </c>
      <c r="B24" s="449">
        <f t="shared" ca="1" si="2"/>
        <v>63.836014012557726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63.836014012557726</v>
      </c>
    </row>
    <row r="25" spans="1:17">
      <c r="A25" s="448" t="s">
        <v>111</v>
      </c>
      <c r="B25" s="449">
        <f t="shared" ca="1" si="2"/>
        <v>369.01664163679646</v>
      </c>
      <c r="C25" s="449">
        <f t="shared" ca="1" si="3"/>
        <v>0</v>
      </c>
      <c r="D25" s="449">
        <f t="shared" si="4"/>
        <v>11.574509100000002</v>
      </c>
      <c r="E25" s="449">
        <f t="shared" si="5"/>
        <v>6.1228364727208593</v>
      </c>
      <c r="F25" s="449">
        <f t="shared" si="6"/>
        <v>2494.6953363491848</v>
      </c>
      <c r="G25" s="449">
        <f t="shared" si="7"/>
        <v>0</v>
      </c>
      <c r="H25" s="449">
        <f t="shared" si="8"/>
        <v>0</v>
      </c>
      <c r="I25" s="449">
        <f t="shared" si="9"/>
        <v>0</v>
      </c>
      <c r="J25" s="449">
        <f t="shared" si="10"/>
        <v>125.38195855019053</v>
      </c>
      <c r="K25" s="449">
        <f t="shared" si="11"/>
        <v>0</v>
      </c>
      <c r="L25" s="449">
        <f t="shared" si="12"/>
        <v>0</v>
      </c>
      <c r="M25" s="449">
        <f t="shared" si="13"/>
        <v>0</v>
      </c>
      <c r="N25" s="449">
        <f t="shared" si="14"/>
        <v>0</v>
      </c>
      <c r="O25" s="449">
        <f t="shared" si="15"/>
        <v>0</v>
      </c>
      <c r="P25" s="450">
        <f t="shared" si="16"/>
        <v>0</v>
      </c>
      <c r="Q25" s="448">
        <f t="shared" ca="1" si="17"/>
        <v>3006.7912821088926</v>
      </c>
    </row>
    <row r="26" spans="1:17">
      <c r="A26" s="448" t="s">
        <v>671</v>
      </c>
      <c r="B26" s="449">
        <f t="shared" ca="1" si="2"/>
        <v>1093.1086094147579</v>
      </c>
      <c r="C26" s="449">
        <f t="shared" ca="1" si="3"/>
        <v>0</v>
      </c>
      <c r="D26" s="449">
        <f t="shared" si="4"/>
        <v>99.63461332</v>
      </c>
      <c r="E26" s="449">
        <f t="shared" si="5"/>
        <v>13.1465271639685</v>
      </c>
      <c r="F26" s="449">
        <f t="shared" si="6"/>
        <v>1428.2717059271956</v>
      </c>
      <c r="G26" s="449">
        <f t="shared" si="7"/>
        <v>0</v>
      </c>
      <c r="H26" s="449">
        <f t="shared" si="8"/>
        <v>0</v>
      </c>
      <c r="I26" s="449">
        <f t="shared" si="9"/>
        <v>0</v>
      </c>
      <c r="J26" s="449">
        <f t="shared" si="10"/>
        <v>1.0794979219422363</v>
      </c>
      <c r="K26" s="449">
        <f t="shared" si="11"/>
        <v>0</v>
      </c>
      <c r="L26" s="449">
        <f t="shared" si="12"/>
        <v>0</v>
      </c>
      <c r="M26" s="449">
        <f t="shared" si="13"/>
        <v>0</v>
      </c>
      <c r="N26" s="449">
        <f t="shared" si="14"/>
        <v>0</v>
      </c>
      <c r="O26" s="449">
        <f t="shared" si="15"/>
        <v>0</v>
      </c>
      <c r="P26" s="450">
        <f t="shared" si="16"/>
        <v>0</v>
      </c>
      <c r="Q26" s="448">
        <f t="shared" ca="1" si="17"/>
        <v>2635.2409537478643</v>
      </c>
    </row>
    <row r="27" spans="1:17" s="454" customFormat="1">
      <c r="A27" s="452" t="s">
        <v>568</v>
      </c>
      <c r="B27" s="760">
        <f t="shared" ca="1" si="2"/>
        <v>1.0520478691375807</v>
      </c>
      <c r="C27" s="453">
        <f t="shared" ca="1" si="3"/>
        <v>0</v>
      </c>
      <c r="D27" s="453">
        <f t="shared" si="4"/>
        <v>1.9216415726752079</v>
      </c>
      <c r="E27" s="453">
        <f t="shared" si="5"/>
        <v>157.84767707824003</v>
      </c>
      <c r="F27" s="453">
        <f t="shared" si="6"/>
        <v>0</v>
      </c>
      <c r="G27" s="453">
        <f t="shared" si="7"/>
        <v>41976.497778069614</v>
      </c>
      <c r="H27" s="453">
        <f t="shared" si="8"/>
        <v>5912.7330138707102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48050.052158460378</v>
      </c>
    </row>
    <row r="28" spans="1:17">
      <c r="A28" s="448" t="s">
        <v>558</v>
      </c>
      <c r="B28" s="449">
        <f t="shared" ca="1" si="2"/>
        <v>0.76712160759879433</v>
      </c>
      <c r="C28" s="449">
        <f t="shared" ca="1" si="3"/>
        <v>0</v>
      </c>
      <c r="D28" s="449">
        <f t="shared" si="4"/>
        <v>0</v>
      </c>
      <c r="E28" s="449">
        <f t="shared" si="5"/>
        <v>0</v>
      </c>
      <c r="F28" s="449">
        <f t="shared" si="6"/>
        <v>0</v>
      </c>
      <c r="G28" s="449">
        <f t="shared" si="7"/>
        <v>316.96613921752089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317.73326082511966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27.995533878173283</v>
      </c>
      <c r="C32" s="449">
        <f t="shared" ca="1" si="3"/>
        <v>0</v>
      </c>
      <c r="D32" s="449">
        <f t="shared" si="4"/>
        <v>137.69612800000002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165.69166187817331</v>
      </c>
    </row>
    <row r="33" spans="1:17" s="461" customFormat="1">
      <c r="A33" s="458" t="s">
        <v>562</v>
      </c>
      <c r="B33" s="459">
        <f ca="1">SUM(B22:B32)</f>
        <v>3586.3991694490487</v>
      </c>
      <c r="C33" s="459">
        <f t="shared" ref="C33:Q33" ca="1" si="18">SUM(C22:C32)</f>
        <v>0</v>
      </c>
      <c r="D33" s="459">
        <f t="shared" ca="1" si="18"/>
        <v>1822.7385162206756</v>
      </c>
      <c r="E33" s="459">
        <f t="shared" si="18"/>
        <v>424.12868371101229</v>
      </c>
      <c r="F33" s="459">
        <f t="shared" ca="1" si="18"/>
        <v>12610.866327197529</v>
      </c>
      <c r="G33" s="459">
        <f t="shared" si="18"/>
        <v>42293.463917287132</v>
      </c>
      <c r="H33" s="459">
        <f t="shared" si="18"/>
        <v>5912.7330138707102</v>
      </c>
      <c r="I33" s="459">
        <f t="shared" si="18"/>
        <v>0</v>
      </c>
      <c r="J33" s="459">
        <f t="shared" si="18"/>
        <v>330.07012253089067</v>
      </c>
      <c r="K33" s="459">
        <f t="shared" si="18"/>
        <v>0</v>
      </c>
      <c r="L33" s="459">
        <f t="shared" ca="1" si="18"/>
        <v>0</v>
      </c>
      <c r="M33" s="459">
        <f t="shared" si="18"/>
        <v>0</v>
      </c>
      <c r="N33" s="459">
        <f t="shared" ca="1" si="18"/>
        <v>0</v>
      </c>
      <c r="O33" s="459">
        <f t="shared" si="18"/>
        <v>0</v>
      </c>
      <c r="P33" s="459">
        <f t="shared" si="18"/>
        <v>0</v>
      </c>
      <c r="Q33" s="459">
        <f t="shared" ca="1" si="18"/>
        <v>66980.399750266995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7615.1509853031503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3983.2408125674501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11598.391797870601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0.12888457409823162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0.12888457409823162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0.12888457409823162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0.12888457409823162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2420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2382</v>
      </c>
      <c r="C14" s="327"/>
      <c r="D14" s="327"/>
      <c r="E14" s="327"/>
      <c r="F14" s="327"/>
    </row>
    <row r="15" spans="1:6">
      <c r="A15" s="1295" t="s">
        <v>183</v>
      </c>
      <c r="B15" s="1296">
        <v>391</v>
      </c>
      <c r="C15" s="327"/>
      <c r="D15" s="327"/>
      <c r="E15" s="327"/>
      <c r="F15" s="327"/>
    </row>
    <row r="16" spans="1:6">
      <c r="A16" s="1295" t="s">
        <v>6</v>
      </c>
      <c r="B16" s="1296">
        <v>297</v>
      </c>
      <c r="C16" s="327"/>
      <c r="D16" s="327"/>
      <c r="E16" s="327"/>
      <c r="F16" s="327"/>
    </row>
    <row r="17" spans="1:6">
      <c r="A17" s="1295" t="s">
        <v>7</v>
      </c>
      <c r="B17" s="1296">
        <v>213</v>
      </c>
      <c r="C17" s="327"/>
      <c r="D17" s="327"/>
      <c r="E17" s="327"/>
      <c r="F17" s="327"/>
    </row>
    <row r="18" spans="1:6">
      <c r="A18" s="1295" t="s">
        <v>8</v>
      </c>
      <c r="B18" s="1296">
        <v>331</v>
      </c>
      <c r="C18" s="327"/>
      <c r="D18" s="327"/>
      <c r="E18" s="327"/>
      <c r="F18" s="327"/>
    </row>
    <row r="19" spans="1:6">
      <c r="A19" s="1295" t="s">
        <v>9</v>
      </c>
      <c r="B19" s="1296">
        <v>314</v>
      </c>
      <c r="C19" s="327"/>
      <c r="D19" s="327"/>
      <c r="E19" s="327"/>
      <c r="F19" s="327"/>
    </row>
    <row r="20" spans="1:6">
      <c r="A20" s="1295" t="s">
        <v>10</v>
      </c>
      <c r="B20" s="1296">
        <v>398</v>
      </c>
      <c r="C20" s="327"/>
      <c r="D20" s="327"/>
      <c r="E20" s="327"/>
      <c r="F20" s="327"/>
    </row>
    <row r="21" spans="1:6">
      <c r="A21" s="1295" t="s">
        <v>11</v>
      </c>
      <c r="B21" s="1296">
        <v>7274</v>
      </c>
      <c r="C21" s="327"/>
      <c r="D21" s="327"/>
      <c r="E21" s="327"/>
      <c r="F21" s="327"/>
    </row>
    <row r="22" spans="1:6">
      <c r="A22" s="1295" t="s">
        <v>12</v>
      </c>
      <c r="B22" s="1296">
        <v>9484</v>
      </c>
      <c r="C22" s="327"/>
      <c r="D22" s="327"/>
      <c r="E22" s="327"/>
      <c r="F22" s="327"/>
    </row>
    <row r="23" spans="1:6">
      <c r="A23" s="1295" t="s">
        <v>13</v>
      </c>
      <c r="B23" s="1296">
        <v>356</v>
      </c>
      <c r="C23" s="327"/>
      <c r="D23" s="327"/>
      <c r="E23" s="327"/>
      <c r="F23" s="327"/>
    </row>
    <row r="24" spans="1:6">
      <c r="A24" s="1295" t="s">
        <v>14</v>
      </c>
      <c r="B24" s="1296">
        <v>10</v>
      </c>
      <c r="C24" s="327"/>
      <c r="D24" s="327"/>
      <c r="E24" s="327"/>
      <c r="F24" s="327"/>
    </row>
    <row r="25" spans="1:6">
      <c r="A25" s="1295" t="s">
        <v>15</v>
      </c>
      <c r="B25" s="1296">
        <v>1496</v>
      </c>
      <c r="C25" s="327"/>
      <c r="D25" s="327"/>
      <c r="E25" s="327"/>
      <c r="F25" s="327"/>
    </row>
    <row r="26" spans="1:6">
      <c r="A26" s="1295" t="s">
        <v>16</v>
      </c>
      <c r="B26" s="1296">
        <v>200</v>
      </c>
      <c r="C26" s="327"/>
      <c r="D26" s="327"/>
      <c r="E26" s="327"/>
      <c r="F26" s="327"/>
    </row>
    <row r="27" spans="1:6">
      <c r="A27" s="1295" t="s">
        <v>17</v>
      </c>
      <c r="B27" s="1296">
        <v>0</v>
      </c>
      <c r="C27" s="327"/>
      <c r="D27" s="327"/>
      <c r="E27" s="327"/>
      <c r="F27" s="327"/>
    </row>
    <row r="28" spans="1:6" s="44" customFormat="1">
      <c r="A28" s="1297" t="s">
        <v>18</v>
      </c>
      <c r="B28" s="1298">
        <v>82780</v>
      </c>
      <c r="C28" s="333"/>
      <c r="D28" s="333"/>
      <c r="E28" s="333"/>
      <c r="F28" s="333"/>
    </row>
    <row r="29" spans="1:6">
      <c r="A29" s="1297" t="s">
        <v>961</v>
      </c>
      <c r="B29" s="1298">
        <v>94</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439</v>
      </c>
    </row>
    <row r="39" spans="1:6">
      <c r="A39" s="1295" t="s">
        <v>29</v>
      </c>
      <c r="B39" s="1295" t="s">
        <v>30</v>
      </c>
      <c r="C39" s="1296">
        <v>421</v>
      </c>
      <c r="D39" s="1296">
        <v>6930582</v>
      </c>
      <c r="E39" s="1296">
        <v>2307</v>
      </c>
      <c r="F39" s="1296">
        <v>9849236</v>
      </c>
    </row>
    <row r="40" spans="1:6">
      <c r="A40" s="1295" t="s">
        <v>29</v>
      </c>
      <c r="B40" s="1295" t="s">
        <v>28</v>
      </c>
      <c r="C40" s="1296">
        <v>0</v>
      </c>
      <c r="D40" s="1296">
        <v>0</v>
      </c>
      <c r="E40" s="1296">
        <v>0</v>
      </c>
      <c r="F40" s="1296">
        <v>0</v>
      </c>
    </row>
    <row r="41" spans="1:6">
      <c r="A41" s="1295" t="s">
        <v>31</v>
      </c>
      <c r="B41" s="1295" t="s">
        <v>32</v>
      </c>
      <c r="C41" s="1296">
        <v>11</v>
      </c>
      <c r="D41" s="1296">
        <v>512288</v>
      </c>
      <c r="E41" s="1296">
        <v>50</v>
      </c>
      <c r="F41" s="1296">
        <v>6398994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61378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30464</v>
      </c>
    </row>
    <row r="48" spans="1:6">
      <c r="A48" s="1295" t="s">
        <v>31</v>
      </c>
      <c r="B48" s="1295" t="s">
        <v>28</v>
      </c>
      <c r="C48" s="1296">
        <v>1</v>
      </c>
      <c r="D48" s="1296">
        <v>34542</v>
      </c>
      <c r="E48" s="1296">
        <v>1</v>
      </c>
      <c r="F48" s="1296">
        <v>284547</v>
      </c>
    </row>
    <row r="49" spans="1:6">
      <c r="A49" s="1295" t="s">
        <v>31</v>
      </c>
      <c r="B49" s="1295" t="s">
        <v>39</v>
      </c>
      <c r="C49" s="1296">
        <v>0</v>
      </c>
      <c r="D49" s="1296">
        <v>0</v>
      </c>
      <c r="E49" s="1296">
        <v>0</v>
      </c>
      <c r="F49" s="1296">
        <v>0</v>
      </c>
    </row>
    <row r="50" spans="1:6">
      <c r="A50" s="1295" t="s">
        <v>31</v>
      </c>
      <c r="B50" s="1295" t="s">
        <v>40</v>
      </c>
      <c r="C50" s="1296">
        <v>0</v>
      </c>
      <c r="D50" s="1296">
        <v>0</v>
      </c>
      <c r="E50" s="1296">
        <v>7</v>
      </c>
      <c r="F50" s="1296">
        <v>1705916</v>
      </c>
    </row>
    <row r="51" spans="1:6">
      <c r="A51" s="1295" t="s">
        <v>41</v>
      </c>
      <c r="B51" s="1295" t="s">
        <v>42</v>
      </c>
      <c r="C51" s="1296">
        <v>0</v>
      </c>
      <c r="D51" s="1296">
        <v>0</v>
      </c>
      <c r="E51" s="1296">
        <v>107</v>
      </c>
      <c r="F51" s="1296">
        <v>2863156</v>
      </c>
    </row>
    <row r="52" spans="1:6">
      <c r="A52" s="1295" t="s">
        <v>41</v>
      </c>
      <c r="B52" s="1295" t="s">
        <v>28</v>
      </c>
      <c r="C52" s="1296">
        <v>2</v>
      </c>
      <c r="D52" s="1296">
        <v>63525</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495296</v>
      </c>
    </row>
    <row r="55" spans="1:6">
      <c r="A55" s="1295" t="s">
        <v>45</v>
      </c>
      <c r="B55" s="1295" t="s">
        <v>28</v>
      </c>
      <c r="C55" s="1296">
        <v>0</v>
      </c>
      <c r="D55" s="1296">
        <v>0</v>
      </c>
      <c r="E55" s="1296">
        <v>0</v>
      </c>
      <c r="F55" s="1296">
        <v>0</v>
      </c>
    </row>
    <row r="56" spans="1:6">
      <c r="A56" s="1295" t="s">
        <v>47</v>
      </c>
      <c r="B56" s="1295" t="s">
        <v>28</v>
      </c>
      <c r="C56" s="1296">
        <v>10</v>
      </c>
      <c r="D56" s="1296">
        <v>681664</v>
      </c>
      <c r="E56" s="1296">
        <v>34</v>
      </c>
      <c r="F56" s="1296">
        <v>217214</v>
      </c>
    </row>
    <row r="57" spans="1:6">
      <c r="A57" s="1295" t="s">
        <v>48</v>
      </c>
      <c r="B57" s="1295" t="s">
        <v>49</v>
      </c>
      <c r="C57" s="1296">
        <v>0</v>
      </c>
      <c r="D57" s="1296">
        <v>0</v>
      </c>
      <c r="E57" s="1296">
        <v>29</v>
      </c>
      <c r="F57" s="1296">
        <v>321431</v>
      </c>
    </row>
    <row r="58" spans="1:6">
      <c r="A58" s="1295" t="s">
        <v>48</v>
      </c>
      <c r="B58" s="1295" t="s">
        <v>50</v>
      </c>
      <c r="C58" s="1296">
        <v>0</v>
      </c>
      <c r="D58" s="1296">
        <v>0</v>
      </c>
      <c r="E58" s="1296">
        <v>8</v>
      </c>
      <c r="F58" s="1296">
        <v>251428</v>
      </c>
    </row>
    <row r="59" spans="1:6">
      <c r="A59" s="1295" t="s">
        <v>48</v>
      </c>
      <c r="B59" s="1295" t="s">
        <v>51</v>
      </c>
      <c r="C59" s="1296">
        <v>4</v>
      </c>
      <c r="D59" s="1296">
        <v>81441</v>
      </c>
      <c r="E59" s="1296">
        <v>67</v>
      </c>
      <c r="F59" s="1296">
        <v>1692992</v>
      </c>
    </row>
    <row r="60" spans="1:6">
      <c r="A60" s="1295" t="s">
        <v>48</v>
      </c>
      <c r="B60" s="1295" t="s">
        <v>52</v>
      </c>
      <c r="C60" s="1296">
        <v>10</v>
      </c>
      <c r="D60" s="1296">
        <v>427407</v>
      </c>
      <c r="E60" s="1296">
        <v>24</v>
      </c>
      <c r="F60" s="1296">
        <v>661127</v>
      </c>
    </row>
    <row r="61" spans="1:6">
      <c r="A61" s="1295" t="s">
        <v>48</v>
      </c>
      <c r="B61" s="1295" t="s">
        <v>53</v>
      </c>
      <c r="C61" s="1296">
        <v>17</v>
      </c>
      <c r="D61" s="1296">
        <v>598535</v>
      </c>
      <c r="E61" s="1296">
        <v>85</v>
      </c>
      <c r="F61" s="1296">
        <v>1270006</v>
      </c>
    </row>
    <row r="62" spans="1:6">
      <c r="A62" s="1295" t="s">
        <v>48</v>
      </c>
      <c r="B62" s="1295" t="s">
        <v>54</v>
      </c>
      <c r="C62" s="1296">
        <v>0</v>
      </c>
      <c r="D62" s="1296">
        <v>0</v>
      </c>
      <c r="E62" s="1296">
        <v>4</v>
      </c>
      <c r="F62" s="1296">
        <v>33624</v>
      </c>
    </row>
    <row r="63" spans="1:6">
      <c r="A63" s="1295" t="s">
        <v>48</v>
      </c>
      <c r="B63" s="1295" t="s">
        <v>28</v>
      </c>
      <c r="C63" s="1296">
        <v>3</v>
      </c>
      <c r="D63" s="1296">
        <v>589242</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31022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48150295</v>
      </c>
      <c r="E73" s="447"/>
      <c r="F73" s="327"/>
    </row>
    <row r="74" spans="1:6">
      <c r="A74" s="1295" t="s">
        <v>63</v>
      </c>
      <c r="B74" s="1295" t="s">
        <v>755</v>
      </c>
      <c r="C74" s="1309" t="s">
        <v>749</v>
      </c>
      <c r="D74" s="1310">
        <v>5545441.0767642604</v>
      </c>
      <c r="E74" s="447"/>
      <c r="F74" s="327"/>
    </row>
    <row r="75" spans="1:6">
      <c r="A75" s="1295" t="s">
        <v>64</v>
      </c>
      <c r="B75" s="1295" t="s">
        <v>754</v>
      </c>
      <c r="C75" s="1309" t="s">
        <v>750</v>
      </c>
      <c r="D75" s="1310">
        <v>21684124</v>
      </c>
      <c r="E75" s="447"/>
      <c r="F75" s="327"/>
    </row>
    <row r="76" spans="1:6">
      <c r="A76" s="1295" t="s">
        <v>64</v>
      </c>
      <c r="B76" s="1295" t="s">
        <v>755</v>
      </c>
      <c r="C76" s="1309" t="s">
        <v>751</v>
      </c>
      <c r="D76" s="1310">
        <v>795059.07676426007</v>
      </c>
      <c r="E76" s="447"/>
      <c r="F76" s="327"/>
    </row>
    <row r="77" spans="1:6">
      <c r="A77" s="1295" t="s">
        <v>65</v>
      </c>
      <c r="B77" s="1295" t="s">
        <v>754</v>
      </c>
      <c r="C77" s="1309" t="s">
        <v>752</v>
      </c>
      <c r="D77" s="1310">
        <v>125954801</v>
      </c>
      <c r="E77" s="447"/>
      <c r="F77" s="327"/>
    </row>
    <row r="78" spans="1:6">
      <c r="A78" s="1290" t="s">
        <v>65</v>
      </c>
      <c r="B78" s="1290" t="s">
        <v>755</v>
      </c>
      <c r="C78" s="1290" t="s">
        <v>753</v>
      </c>
      <c r="D78" s="1311">
        <v>14536210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327913.8464714798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7615.1509853031503</v>
      </c>
      <c r="C90" s="327"/>
      <c r="D90" s="327"/>
      <c r="E90" s="327"/>
      <c r="F90" s="327"/>
    </row>
    <row r="91" spans="1:6">
      <c r="A91" s="1295" t="s">
        <v>67</v>
      </c>
      <c r="B91" s="1296">
        <v>1675.5186199078933</v>
      </c>
      <c r="C91" s="327"/>
      <c r="D91" s="327"/>
      <c r="E91" s="327"/>
      <c r="F91" s="327"/>
    </row>
    <row r="92" spans="1:6">
      <c r="A92" s="1290" t="s">
        <v>68</v>
      </c>
      <c r="B92" s="1291">
        <v>2307.7221926595571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92</v>
      </c>
      <c r="C97" s="327"/>
      <c r="D97" s="327"/>
      <c r="E97" s="327"/>
      <c r="F97" s="327"/>
    </row>
    <row r="98" spans="1:6">
      <c r="A98" s="1295" t="s">
        <v>71</v>
      </c>
      <c r="B98" s="1296">
        <v>0</v>
      </c>
      <c r="C98" s="327"/>
      <c r="D98" s="327"/>
      <c r="E98" s="327"/>
      <c r="F98" s="327"/>
    </row>
    <row r="99" spans="1:6">
      <c r="A99" s="1295" t="s">
        <v>72</v>
      </c>
      <c r="B99" s="1296">
        <v>59</v>
      </c>
      <c r="C99" s="327"/>
      <c r="D99" s="327"/>
      <c r="E99" s="327"/>
      <c r="F99" s="327"/>
    </row>
    <row r="100" spans="1:6">
      <c r="A100" s="1295" t="s">
        <v>73</v>
      </c>
      <c r="B100" s="1296">
        <v>74</v>
      </c>
      <c r="C100" s="327"/>
      <c r="D100" s="327"/>
      <c r="E100" s="327"/>
      <c r="F100" s="327"/>
    </row>
    <row r="101" spans="1:6">
      <c r="A101" s="1295" t="s">
        <v>74</v>
      </c>
      <c r="B101" s="1296">
        <v>37</v>
      </c>
      <c r="C101" s="327"/>
      <c r="D101" s="327"/>
      <c r="E101" s="327"/>
      <c r="F101" s="327"/>
    </row>
    <row r="102" spans="1:6">
      <c r="A102" s="1295" t="s">
        <v>75</v>
      </c>
      <c r="B102" s="1296">
        <v>32</v>
      </c>
      <c r="C102" s="327"/>
      <c r="D102" s="327"/>
      <c r="E102" s="327"/>
      <c r="F102" s="327"/>
    </row>
    <row r="103" spans="1:6">
      <c r="A103" s="1295" t="s">
        <v>76</v>
      </c>
      <c r="B103" s="1296">
        <v>118</v>
      </c>
      <c r="C103" s="327"/>
      <c r="D103" s="327"/>
      <c r="E103" s="327"/>
      <c r="F103" s="327"/>
    </row>
    <row r="104" spans="1:6">
      <c r="A104" s="1295" t="s">
        <v>77</v>
      </c>
      <c r="B104" s="1296">
        <v>1754</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4</v>
      </c>
      <c r="D123" s="327"/>
      <c r="E123" s="327"/>
      <c r="F123" s="327"/>
    </row>
    <row r="124" spans="1:6" s="44" customFormat="1">
      <c r="A124" s="1297" t="s">
        <v>88</v>
      </c>
      <c r="B124" s="1318">
        <v>2</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27826.442338364035</v>
      </c>
      <c r="C3" s="44" t="s">
        <v>169</v>
      </c>
      <c r="D3" s="44"/>
      <c r="E3" s="157"/>
      <c r="F3" s="44"/>
      <c r="G3" s="44"/>
      <c r="H3" s="44"/>
      <c r="I3" s="44"/>
      <c r="J3" s="44"/>
      <c r="K3" s="97"/>
    </row>
    <row r="4" spans="1:11">
      <c r="A4" s="354" t="s">
        <v>170</v>
      </c>
      <c r="B4" s="50">
        <f>IF(ISERROR('SEAP template'!B78+'SEAP template'!C78),0,'SEAP template'!B78+'SEAP template'!C78)</f>
        <v>11598.391797870601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0.12888457409823162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495.29599999999999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495.29599999999999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0.12888457409823162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63.836014012557726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9849.2360000000008</v>
      </c>
      <c r="C5" s="18">
        <f>IF(ISERROR('Eigen informatie GS &amp; warmtenet'!B57),0,'Eigen informatie GS &amp; warmtenet'!B57)</f>
        <v>0</v>
      </c>
      <c r="D5" s="31">
        <f>(SUM(HH_hh_gas_kWh,HH_rest_gas_kWh)/1000)*0.902</f>
        <v>6251.3849640000008</v>
      </c>
      <c r="E5" s="18">
        <f>B32*B41</f>
        <v>1039.7484838651294</v>
      </c>
      <c r="F5" s="18">
        <f>B36*B45</f>
        <v>31698.91257557744</v>
      </c>
      <c r="G5" s="19"/>
      <c r="H5" s="18"/>
      <c r="I5" s="18"/>
      <c r="J5" s="18">
        <f>B35*B44+C35*C44</f>
        <v>575.16572332982469</v>
      </c>
      <c r="K5" s="18"/>
      <c r="L5" s="18"/>
      <c r="M5" s="18"/>
      <c r="N5" s="18">
        <f>B34*B43+C34*C43</f>
        <v>3916.1345453890867</v>
      </c>
      <c r="O5" s="18">
        <f>B52*B53*B54</f>
        <v>18.760000000000002</v>
      </c>
      <c r="P5" s="18">
        <f>B60*B61*B62/1000-B60*B61*B62/1000/B63</f>
        <v>400.4</v>
      </c>
    </row>
    <row r="6" spans="1:16">
      <c r="A6" s="17" t="s">
        <v>628</v>
      </c>
      <c r="B6" s="768">
        <f>kWh_PV_kleiner_dan_10kW</f>
        <v>1675.5186199078933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11524.754619907893</v>
      </c>
      <c r="C8" s="22">
        <f>C5</f>
        <v>0</v>
      </c>
      <c r="D8" s="22">
        <f>D5</f>
        <v>6251.3849640000008</v>
      </c>
      <c r="E8" s="22">
        <f>E5</f>
        <v>1039.7484838651294</v>
      </c>
      <c r="F8" s="22">
        <f>F5</f>
        <v>31698.91257557744</v>
      </c>
      <c r="G8" s="22"/>
      <c r="H8" s="22"/>
      <c r="I8" s="22"/>
      <c r="J8" s="22">
        <f>J5</f>
        <v>575.16572332982469</v>
      </c>
      <c r="K8" s="22"/>
      <c r="L8" s="22">
        <f>L5</f>
        <v>0</v>
      </c>
      <c r="M8" s="22">
        <f>M5</f>
        <v>0</v>
      </c>
      <c r="N8" s="22">
        <f>N5</f>
        <v>3916.1345453890867</v>
      </c>
      <c r="O8" s="22">
        <f>O5</f>
        <v>18.760000000000002</v>
      </c>
      <c r="P8" s="22">
        <f>P5</f>
        <v>400.4</v>
      </c>
    </row>
    <row r="9" spans="1:16">
      <c r="B9" s="20"/>
      <c r="C9" s="20"/>
      <c r="D9" s="258"/>
      <c r="E9" s="20"/>
      <c r="F9" s="20"/>
      <c r="G9" s="20"/>
      <c r="H9" s="20"/>
      <c r="I9" s="20"/>
      <c r="J9" s="20"/>
      <c r="K9" s="20"/>
      <c r="L9" s="20"/>
      <c r="M9" s="20"/>
      <c r="N9" s="20"/>
      <c r="O9" s="20"/>
      <c r="P9" s="20"/>
    </row>
    <row r="10" spans="1:16">
      <c r="A10" s="25" t="s">
        <v>213</v>
      </c>
      <c r="B10" s="26">
        <f ca="1">'EF ele_warmte'!B12</f>
        <v>0.12888457409823162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1485.363090773456</v>
      </c>
      <c r="C12" s="24">
        <f ca="1">C10*C8</f>
        <v>0</v>
      </c>
      <c r="D12" s="24">
        <f>D8*D10</f>
        <v>1262.7797627280002</v>
      </c>
      <c r="E12" s="24">
        <f>E10*E8</f>
        <v>236.02290583738437</v>
      </c>
      <c r="F12" s="24">
        <f>F10*F8</f>
        <v>8463.609657679177</v>
      </c>
      <c r="G12" s="24"/>
      <c r="H12" s="24"/>
      <c r="I12" s="24"/>
      <c r="J12" s="24">
        <f>J10*J8</f>
        <v>203.60866605875793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2420</v>
      </c>
      <c r="C26" s="37"/>
      <c r="D26" s="228"/>
    </row>
    <row r="27" spans="1:5" s="16" customFormat="1">
      <c r="A27" s="230" t="s">
        <v>654</v>
      </c>
      <c r="B27" s="38">
        <f>SUM(HH_hh_gas_aantal,HH_rest_gas_aantal)</f>
        <v>421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399.95</v>
      </c>
      <c r="C31" s="35" t="s">
        <v>110</v>
      </c>
      <c r="D31" s="174"/>
    </row>
    <row r="32" spans="1:5">
      <c r="A32" s="171" t="s">
        <v>72</v>
      </c>
      <c r="B32" s="34">
        <f>IF((B21*($B$26-($B$27-0.05*$B$27)-$B$60))&lt;0,0,B21*($B$26-($B$27-0.05*$B$27)-$B$60))</f>
        <v>49.12731457269755</v>
      </c>
      <c r="C32" s="35" t="s">
        <v>110</v>
      </c>
      <c r="D32" s="174"/>
    </row>
    <row r="33" spans="1:6">
      <c r="A33" s="171" t="s">
        <v>73</v>
      </c>
      <c r="B33" s="34">
        <f>IF((B22*($B$26-($B$27-0.05*$B$27)-$B$60))&lt;0,0,B22*($B$26-($B$27-0.05*$B$27)-$B$60))</f>
        <v>330.68444552961762</v>
      </c>
      <c r="C33" s="35" t="s">
        <v>110</v>
      </c>
      <c r="D33" s="174"/>
    </row>
    <row r="34" spans="1:6">
      <c r="A34" s="171" t="s">
        <v>74</v>
      </c>
      <c r="B34" s="34">
        <f>IF((B24*($B$26-($B$27-0.05*$B$27)-$B$60))&lt;0,0,B24*($B$26-($B$27-0.05*$B$27)-$B$60))</f>
        <v>83.868545582850558</v>
      </c>
      <c r="C34" s="34">
        <f>B26*C24</f>
        <v>494.89563295915485</v>
      </c>
      <c r="D34" s="233"/>
    </row>
    <row r="35" spans="1:6">
      <c r="A35" s="171" t="s">
        <v>76</v>
      </c>
      <c r="B35" s="34">
        <f>IF((B19*($B$26-($B$27-0.05*$B$27)-$B$60))&lt;0,0,B19*($B$26-($B$27-0.05*$B$27)-$B$60))</f>
        <v>31.179671152157535</v>
      </c>
      <c r="C35" s="34">
        <f>B35/2</f>
        <v>15.589835576078768</v>
      </c>
      <c r="D35" s="233"/>
    </row>
    <row r="36" spans="1:6">
      <c r="A36" s="171" t="s">
        <v>77</v>
      </c>
      <c r="B36" s="34">
        <f>IF((B18*($B$26-($B$27-0.05*$B$27)-$B$60))&lt;0,0,B18*($B$26-($B$27-0.05*$B$27)-$B$60))</f>
        <v>1504.1900231626762</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4230.6079999999993</v>
      </c>
      <c r="C5" s="18">
        <f>IF(ISERROR('Eigen informatie GS &amp; warmtenet'!B58),0,'Eigen informatie GS &amp; warmtenet'!B58)</f>
        <v>0</v>
      </c>
      <c r="D5" s="31">
        <f>SUM(D6:D12)</f>
        <v>1530.3557499999999</v>
      </c>
      <c r="E5" s="18">
        <f>SUM(E6:E12)</f>
        <v>48.408533738759928</v>
      </c>
      <c r="F5" s="18">
        <f>SUM(F6:F12)</f>
        <v>840.03605708603686</v>
      </c>
      <c r="G5" s="19"/>
      <c r="H5" s="18"/>
      <c r="I5" s="18"/>
      <c r="J5" s="18">
        <f>SUM(J6:J12)</f>
        <v>0</v>
      </c>
      <c r="K5" s="18"/>
      <c r="L5" s="18"/>
      <c r="M5" s="18"/>
      <c r="N5" s="18">
        <f>SUM(N6:N12)</f>
        <v>196.44418522974283</v>
      </c>
      <c r="O5" s="18">
        <f>B38*B39*B40</f>
        <v>1.5633333333333335</v>
      </c>
      <c r="P5" s="18">
        <f>B46*B47*B48/1000-B46*B47*B48/1000/B49</f>
        <v>0</v>
      </c>
      <c r="R5" s="33"/>
    </row>
    <row r="6" spans="1:18">
      <c r="A6" s="33" t="s">
        <v>53</v>
      </c>
      <c r="B6" s="38">
        <f>B26</f>
        <v>1270.0060000000001</v>
      </c>
      <c r="C6" s="34"/>
      <c r="D6" s="38">
        <f>IF(ISERROR(TER_kantoor_gas_kWh/1000),0,TER_kantoor_gas_kWh/1000)*0.902</f>
        <v>539.87856999999997</v>
      </c>
      <c r="E6" s="34">
        <f>$C$26*'E Balans VL '!I12/100/3.6*1000000</f>
        <v>2.0843372455442593</v>
      </c>
      <c r="F6" s="34">
        <f>$C$26*('E Balans VL '!L12+'E Balans VL '!N12)/100/3.6*1000000</f>
        <v>149.70382578152771</v>
      </c>
      <c r="G6" s="35"/>
      <c r="H6" s="34"/>
      <c r="I6" s="34"/>
      <c r="J6" s="34">
        <f>$C$26*('E Balans VL '!D12+'E Balans VL '!E12)/100/3.6*1000000</f>
        <v>0</v>
      </c>
      <c r="K6" s="34"/>
      <c r="L6" s="34"/>
      <c r="M6" s="34"/>
      <c r="N6" s="34">
        <f>$C$26*'E Balans VL '!Y12/100/3.6*1000000</f>
        <v>0.25659869832924187</v>
      </c>
      <c r="O6" s="34"/>
      <c r="P6" s="34"/>
      <c r="R6" s="33"/>
    </row>
    <row r="7" spans="1:18">
      <c r="A7" s="33" t="s">
        <v>52</v>
      </c>
      <c r="B7" s="38">
        <f t="shared" ref="B7:B12" si="0">B27</f>
        <v>661.12699999999995</v>
      </c>
      <c r="C7" s="34"/>
      <c r="D7" s="38">
        <f>IF(ISERROR(TER_horeca_gas_kWh/1000),0,TER_horeca_gas_kWh/1000)*0.902</f>
        <v>385.52111400000001</v>
      </c>
      <c r="E7" s="34">
        <f>$C$27*'E Balans VL '!I9/100/3.6*1000000</f>
        <v>34.307707282653837</v>
      </c>
      <c r="F7" s="34">
        <f>$C$27*('E Balans VL '!L9+'E Balans VL '!N9)/100/3.6*1000000</f>
        <v>150.86966111612878</v>
      </c>
      <c r="G7" s="35"/>
      <c r="H7" s="34"/>
      <c r="I7" s="34"/>
      <c r="J7" s="34">
        <f>$C$27*('E Balans VL '!D9+'E Balans VL '!E9)/100/3.6*1000000</f>
        <v>0</v>
      </c>
      <c r="K7" s="34"/>
      <c r="L7" s="34"/>
      <c r="M7" s="34"/>
      <c r="N7" s="34">
        <f>$C$27*'E Balans VL '!Y9/100/3.6*1000000</f>
        <v>6.9814708225334254E-2</v>
      </c>
      <c r="O7" s="34"/>
      <c r="P7" s="34"/>
      <c r="R7" s="33"/>
    </row>
    <row r="8" spans="1:18">
      <c r="A8" s="6" t="s">
        <v>51</v>
      </c>
      <c r="B8" s="38">
        <f t="shared" si="0"/>
        <v>1692.992</v>
      </c>
      <c r="C8" s="34"/>
      <c r="D8" s="38">
        <f>IF(ISERROR(TER_handel_gas_kWh/1000),0,TER_handel_gas_kWh/1000)*0.902</f>
        <v>73.459782000000004</v>
      </c>
      <c r="E8" s="34">
        <f>$C$28*'E Balans VL '!I13/100/3.6*1000000</f>
        <v>9.116969961065907</v>
      </c>
      <c r="F8" s="34">
        <f>$C$28*('E Balans VL '!L13+'E Balans VL '!N13)/100/3.6*1000000</f>
        <v>345.25137999087394</v>
      </c>
      <c r="G8" s="35"/>
      <c r="H8" s="34"/>
      <c r="I8" s="34"/>
      <c r="J8" s="34">
        <f>$C$28*('E Balans VL '!D13+'E Balans VL '!E13)/100/3.6*1000000</f>
        <v>0</v>
      </c>
      <c r="K8" s="34"/>
      <c r="L8" s="34"/>
      <c r="M8" s="34"/>
      <c r="N8" s="34">
        <f>$C$28*'E Balans VL '!Y13/100/3.6*1000000</f>
        <v>8.4183551725396644</v>
      </c>
      <c r="O8" s="34"/>
      <c r="P8" s="34"/>
      <c r="R8" s="33"/>
    </row>
    <row r="9" spans="1:18">
      <c r="A9" s="33" t="s">
        <v>50</v>
      </c>
      <c r="B9" s="38">
        <f t="shared" si="0"/>
        <v>251.428</v>
      </c>
      <c r="C9" s="34"/>
      <c r="D9" s="38">
        <f>IF(ISERROR(TER_gezond_gas_kWh/1000),0,TER_gezond_gas_kWh/1000)*0.902</f>
        <v>0</v>
      </c>
      <c r="E9" s="34">
        <f>$C$29*'E Balans VL '!I10/100/3.6*1000000</f>
        <v>0.24916800722738275</v>
      </c>
      <c r="F9" s="34">
        <f>$C$29*('E Balans VL '!L10+'E Balans VL '!N10)/100/3.6*1000000</f>
        <v>87.238268865931644</v>
      </c>
      <c r="G9" s="35"/>
      <c r="H9" s="34"/>
      <c r="I9" s="34"/>
      <c r="J9" s="34">
        <f>$C$29*('E Balans VL '!D10+'E Balans VL '!E10)/100/3.6*1000000</f>
        <v>0</v>
      </c>
      <c r="K9" s="34"/>
      <c r="L9" s="34"/>
      <c r="M9" s="34"/>
      <c r="N9" s="34">
        <f>$C$29*'E Balans VL '!Y10/100/3.6*1000000</f>
        <v>2.1665332948967855</v>
      </c>
      <c r="O9" s="34"/>
      <c r="P9" s="34"/>
      <c r="R9" s="33"/>
    </row>
    <row r="10" spans="1:18">
      <c r="A10" s="33" t="s">
        <v>49</v>
      </c>
      <c r="B10" s="38">
        <f t="shared" si="0"/>
        <v>321.43099999999998</v>
      </c>
      <c r="C10" s="34"/>
      <c r="D10" s="38">
        <f>IF(ISERROR(TER_ander_gas_kWh/1000),0,TER_ander_gas_kWh/1000)*0.902</f>
        <v>0</v>
      </c>
      <c r="E10" s="34">
        <f>$C$30*'E Balans VL '!I14/100/3.6*1000000</f>
        <v>2.6296268274059544</v>
      </c>
      <c r="F10" s="34">
        <f>$C$30*('E Balans VL '!L14+'E Balans VL '!N14)/100/3.6*1000000</f>
        <v>93.973338402013766</v>
      </c>
      <c r="G10" s="35"/>
      <c r="H10" s="34"/>
      <c r="I10" s="34"/>
      <c r="J10" s="34">
        <f>$C$30*('E Balans VL '!D14+'E Balans VL '!E14)/100/3.6*1000000</f>
        <v>0</v>
      </c>
      <c r="K10" s="34"/>
      <c r="L10" s="34"/>
      <c r="M10" s="34"/>
      <c r="N10" s="34">
        <f>$C$30*'E Balans VL '!Y14/100/3.6*1000000</f>
        <v>185.42351168922116</v>
      </c>
      <c r="O10" s="34"/>
      <c r="P10" s="34"/>
      <c r="R10" s="33"/>
    </row>
    <row r="11" spans="1:18">
      <c r="A11" s="33" t="s">
        <v>54</v>
      </c>
      <c r="B11" s="38">
        <f t="shared" si="0"/>
        <v>33.624000000000002</v>
      </c>
      <c r="C11" s="34"/>
      <c r="D11" s="38">
        <f>IF(ISERROR(TER_onderwijs_gas_kWh/1000),0,TER_onderwijs_gas_kWh/1000)*0.902</f>
        <v>0</v>
      </c>
      <c r="E11" s="34">
        <f>$C$31*'E Balans VL '!I11/100/3.6*1000000</f>
        <v>2.072441486258517E-2</v>
      </c>
      <c r="F11" s="34">
        <f>$C$31*('E Balans VL '!L11+'E Balans VL '!N11)/100/3.6*1000000</f>
        <v>12.999582929561042</v>
      </c>
      <c r="G11" s="35"/>
      <c r="H11" s="34"/>
      <c r="I11" s="34"/>
      <c r="J11" s="34">
        <f>$C$31*('E Balans VL '!D11+'E Balans VL '!E11)/100/3.6*1000000</f>
        <v>0</v>
      </c>
      <c r="K11" s="34"/>
      <c r="L11" s="34"/>
      <c r="M11" s="34"/>
      <c r="N11" s="34">
        <f>$C$31*'E Balans VL '!Y11/100/3.6*1000000</f>
        <v>0.10937166653064717</v>
      </c>
      <c r="O11" s="34"/>
      <c r="P11" s="34"/>
      <c r="R11" s="33"/>
    </row>
    <row r="12" spans="1:18">
      <c r="A12" s="33" t="s">
        <v>255</v>
      </c>
      <c r="B12" s="38">
        <f t="shared" si="0"/>
        <v>0</v>
      </c>
      <c r="C12" s="34"/>
      <c r="D12" s="38">
        <f>IF(ISERROR(TER_rest_gas_kWh/1000),0,TER_rest_gas_kWh/1000)*0.902</f>
        <v>531.49628399999995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4230.6079999999993</v>
      </c>
      <c r="C16" s="22">
        <f t="shared" ca="1" si="1"/>
        <v>0</v>
      </c>
      <c r="D16" s="22">
        <f t="shared" ca="1" si="1"/>
        <v>1530.3557499999999</v>
      </c>
      <c r="E16" s="22">
        <f t="shared" si="1"/>
        <v>48.408533738759928</v>
      </c>
      <c r="F16" s="22">
        <f t="shared" ca="1" si="1"/>
        <v>840.03605708603686</v>
      </c>
      <c r="G16" s="22">
        <f t="shared" si="1"/>
        <v>0</v>
      </c>
      <c r="H16" s="22">
        <f t="shared" si="1"/>
        <v>0</v>
      </c>
      <c r="I16" s="22">
        <f t="shared" si="1"/>
        <v>0</v>
      </c>
      <c r="J16" s="22">
        <f t="shared" si="1"/>
        <v>0</v>
      </c>
      <c r="K16" s="22">
        <f t="shared" si="1"/>
        <v>0</v>
      </c>
      <c r="L16" s="22">
        <f t="shared" ca="1" si="1"/>
        <v>0</v>
      </c>
      <c r="M16" s="22">
        <f t="shared" si="1"/>
        <v>0</v>
      </c>
      <c r="N16" s="22">
        <f t="shared" ca="1" si="1"/>
        <v>196.44418522974283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0.12888457409823162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545.26011025657135</v>
      </c>
      <c r="C20" s="24">
        <f t="shared" ref="C20:P20" ca="1" si="2">C16*C18</f>
        <v>0</v>
      </c>
      <c r="D20" s="24">
        <f t="shared" ca="1" si="2"/>
        <v>309.13186150000001</v>
      </c>
      <c r="E20" s="24">
        <f t="shared" si="2"/>
        <v>10.988737158698504</v>
      </c>
      <c r="F20" s="24">
        <f t="shared" ca="1" si="2"/>
        <v>224.28962724197186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1270.0060000000001</v>
      </c>
      <c r="C26" s="40">
        <f>IF(ISERROR(B26*3.6/1000000/'E Balans VL '!Z12*100),0,B26*3.6/1000000/'E Balans VL '!Z12*100)</f>
        <v>2.6986716739271718E-2</v>
      </c>
      <c r="D26" s="236" t="s">
        <v>691</v>
      </c>
      <c r="F26" s="6"/>
    </row>
    <row r="27" spans="1:18">
      <c r="A27" s="231" t="s">
        <v>52</v>
      </c>
      <c r="B27" s="34">
        <f>IF(ISERROR(TER_horeca_ele_kWh/1000),0,TER_horeca_ele_kWh/1000)</f>
        <v>661.12699999999995</v>
      </c>
      <c r="C27" s="40">
        <f>IF(ISERROR(B27*3.6/1000000/'E Balans VL '!Z9*100),0,B27*3.6/1000000/'E Balans VL '!Z9*100)</f>
        <v>5.2035807372919948E-2</v>
      </c>
      <c r="D27" s="236" t="s">
        <v>691</v>
      </c>
      <c r="F27" s="6"/>
    </row>
    <row r="28" spans="1:18">
      <c r="A28" s="171" t="s">
        <v>51</v>
      </c>
      <c r="B28" s="34">
        <f>IF(ISERROR(TER_handel_ele_kWh/1000),0,TER_handel_ele_kWh/1000)</f>
        <v>1692.992</v>
      </c>
      <c r="C28" s="40">
        <f>IF(ISERROR(B28*3.6/1000000/'E Balans VL '!Z13*100),0,B28*3.6/1000000/'E Balans VL '!Z13*100)</f>
        <v>4.7421611973547668E-2</v>
      </c>
      <c r="D28" s="236" t="s">
        <v>691</v>
      </c>
      <c r="F28" s="6"/>
    </row>
    <row r="29" spans="1:18">
      <c r="A29" s="231" t="s">
        <v>50</v>
      </c>
      <c r="B29" s="34">
        <f>IF(ISERROR(TER_gezond_ele_kWh/1000),0,TER_gezond_ele_kWh/1000)</f>
        <v>251.428</v>
      </c>
      <c r="C29" s="40">
        <f>IF(ISERROR(B29*3.6/1000000/'E Balans VL '!Z10*100),0,B29*3.6/1000000/'E Balans VL '!Z10*100)</f>
        <v>3.2165244076518773E-2</v>
      </c>
      <c r="D29" s="236" t="s">
        <v>691</v>
      </c>
      <c r="F29" s="6"/>
    </row>
    <row r="30" spans="1:18">
      <c r="A30" s="231" t="s">
        <v>49</v>
      </c>
      <c r="B30" s="34">
        <f>IF(ISERROR(TER_ander_ele_kWh/1000),0,TER_ander_ele_kWh/1000)</f>
        <v>321.43099999999998</v>
      </c>
      <c r="C30" s="40">
        <f>IF(ISERROR(B30*3.6/1000000/'E Balans VL '!Z14*100),0,B30*3.6/1000000/'E Balans VL '!Z14*100)</f>
        <v>2.4040330375080791E-2</v>
      </c>
      <c r="D30" s="236" t="s">
        <v>691</v>
      </c>
      <c r="F30" s="6"/>
    </row>
    <row r="31" spans="1:18">
      <c r="A31" s="231" t="s">
        <v>54</v>
      </c>
      <c r="B31" s="34">
        <f>IF(ISERROR(TER_onderwijs_ele_kWh/1000),0,TER_onderwijs_ele_kWh/1000)</f>
        <v>33.624000000000002</v>
      </c>
      <c r="C31" s="40">
        <f>IF(ISERROR(B31*3.6/1000000/'E Balans VL '!Z11*100),0,B31*3.6/1000000/'E Balans VL '!Z11*100)</f>
        <v>7.0997511542127342E-3</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8481.2990000000009</v>
      </c>
      <c r="C5" s="18">
        <f>IF(ISERROR('Eigen informatie GS &amp; warmtenet'!B59),0,'Eigen informatie GS &amp; warmtenet'!B59)</f>
        <v>0</v>
      </c>
      <c r="D5" s="31">
        <f>SUM(D6:D15)</f>
        <v>493.24065999999999</v>
      </c>
      <c r="E5" s="18">
        <f>SUM(E6:E15)</f>
        <v>57.914216581359028</v>
      </c>
      <c r="F5" s="18">
        <f>SUM(F6:F15)</f>
        <v>5349.3322319370618</v>
      </c>
      <c r="G5" s="19"/>
      <c r="H5" s="18"/>
      <c r="I5" s="18"/>
      <c r="J5" s="18">
        <f>SUM(J6:J15)</f>
        <v>3.0494291580289161</v>
      </c>
      <c r="K5" s="18"/>
      <c r="L5" s="18"/>
      <c r="M5" s="18"/>
      <c r="N5" s="18">
        <f>SUM(N6:N15)</f>
        <v>530.2369467592074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61.378</v>
      </c>
      <c r="C8" s="34"/>
      <c r="D8" s="38">
        <f>IF( ISERROR(IND_metaal_Gas_kWH/1000),0,IND_metaal_Gas_kWH/1000)*0.902</f>
        <v>0</v>
      </c>
      <c r="E8" s="34">
        <f>C30*'E Balans VL '!I18/100/3.6*1000000</f>
        <v>0.55895838492610961</v>
      </c>
      <c r="F8" s="34">
        <f>C30*'E Balans VL '!L18/100/3.6*1000000+C30*'E Balans VL '!N18/100/3.6*1000000</f>
        <v>8.0952920874622656</v>
      </c>
      <c r="G8" s="35"/>
      <c r="H8" s="34"/>
      <c r="I8" s="34"/>
      <c r="J8" s="41">
        <f>C30*'E Balans VL '!D18/100/3.6*1000000+C30*'E Balans VL '!E18/100/3.6*1000000</f>
        <v>1.0065100823530306</v>
      </c>
      <c r="K8" s="34"/>
      <c r="L8" s="34"/>
      <c r="M8" s="34"/>
      <c r="N8" s="34">
        <f>C30*'E Balans VL '!Y18/100/3.6*1000000</f>
        <v>0.21093180365204542</v>
      </c>
      <c r="O8" s="34"/>
      <c r="P8" s="34"/>
      <c r="R8" s="33"/>
    </row>
    <row r="9" spans="1:18">
      <c r="A9" s="6" t="s">
        <v>32</v>
      </c>
      <c r="B9" s="38">
        <f t="shared" si="0"/>
        <v>6398.9939999999997</v>
      </c>
      <c r="C9" s="34"/>
      <c r="D9" s="38">
        <f>IF( ISERROR(IND_andere_gas_kWh/1000),0,IND_andere_gas_kWh/1000)*0.902</f>
        <v>462.083776</v>
      </c>
      <c r="E9" s="34">
        <f>C31*'E Balans VL '!I19/100/3.6*1000000</f>
        <v>36.987141570558968</v>
      </c>
      <c r="F9" s="34">
        <f>C31*'E Balans VL '!L19/100/3.6*1000000+C31*'E Balans VL '!N19/100/3.6*1000000</f>
        <v>5090.7076344069355</v>
      </c>
      <c r="G9" s="35"/>
      <c r="H9" s="34"/>
      <c r="I9" s="34"/>
      <c r="J9" s="41">
        <f>C31*'E Balans VL '!D19/100/3.6*1000000+C31*'E Balans VL '!E19/100/3.6*1000000</f>
        <v>0.60527375438784725</v>
      </c>
      <c r="K9" s="34"/>
      <c r="L9" s="34"/>
      <c r="M9" s="34"/>
      <c r="N9" s="34">
        <f>C31*'E Balans VL '!Y19/100/3.6*1000000</f>
        <v>484.82063344229596</v>
      </c>
      <c r="O9" s="34"/>
      <c r="P9" s="34"/>
      <c r="R9" s="33"/>
    </row>
    <row r="10" spans="1:18">
      <c r="A10" s="6" t="s">
        <v>40</v>
      </c>
      <c r="B10" s="38">
        <f t="shared" si="0"/>
        <v>1705.9159999999999</v>
      </c>
      <c r="C10" s="34"/>
      <c r="D10" s="38">
        <f>IF( ISERROR(IND_voed_gas_kWh/1000),0,IND_voed_gas_kWh/1000)*0.902</f>
        <v>0</v>
      </c>
      <c r="E10" s="34">
        <f>C32*'E Balans VL '!I20/100/3.6*1000000</f>
        <v>16.773617214386181</v>
      </c>
      <c r="F10" s="34">
        <f>C32*'E Balans VL '!L20/100/3.6*1000000+C32*'E Balans VL '!N20/100/3.6*1000000</f>
        <v>189.46423851490991</v>
      </c>
      <c r="G10" s="35"/>
      <c r="H10" s="34"/>
      <c r="I10" s="34"/>
      <c r="J10" s="41">
        <f>C32*'E Balans VL '!D20/100/3.6*1000000+C32*'E Balans VL '!E20/100/3.6*1000000</f>
        <v>6.723789395264205E-3</v>
      </c>
      <c r="K10" s="34"/>
      <c r="L10" s="34"/>
      <c r="M10" s="34"/>
      <c r="N10" s="34">
        <f>C32*'E Balans VL '!Y20/100/3.6*1000000</f>
        <v>25.260603222594476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30.463999999999999</v>
      </c>
      <c r="C13" s="34"/>
      <c r="D13" s="38">
        <f>IF( ISERROR(IND_papier_gas_kWh/1000),0,IND_papier_gas_kWh/1000)*0.902</f>
        <v>0</v>
      </c>
      <c r="E13" s="34">
        <f>C35*'E Balans VL '!I23/100/3.6*1000000</f>
        <v>1.0376480099443024</v>
      </c>
      <c r="F13" s="34">
        <f>C35*'E Balans VL '!L23/100/3.6*1000000+C35*'E Balans VL '!N23/100/3.6*1000000</f>
        <v>5.0319378253102363</v>
      </c>
      <c r="G13" s="35"/>
      <c r="H13" s="34"/>
      <c r="I13" s="34"/>
      <c r="J13" s="41">
        <f>C35*'E Balans VL '!D23/100/3.6*1000000+C35*'E Balans VL '!E23/100/3.6*1000000</f>
        <v>0</v>
      </c>
      <c r="K13" s="34"/>
      <c r="L13" s="34"/>
      <c r="M13" s="34"/>
      <c r="N13" s="34">
        <f>C35*'E Balans VL '!Y23/100/3.6*1000000</f>
        <v>11.20993501885242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284.54700000000003</v>
      </c>
      <c r="C15" s="34"/>
      <c r="D15" s="38">
        <f>IF( ISERROR(IND_rest_gas_kWh/1000),0,IND_rest_gas_kWh/1000)*0.902</f>
        <v>31.156884000000002</v>
      </c>
      <c r="E15" s="34">
        <f>C37*'E Balans VL '!I15/100/3.6*1000000</f>
        <v>2.5568514015434651</v>
      </c>
      <c r="F15" s="34">
        <f>C37*'E Balans VL '!L15/100/3.6*1000000+C37*'E Balans VL '!N15/100/3.6*1000000</f>
        <v>56.03312910244405</v>
      </c>
      <c r="G15" s="35"/>
      <c r="H15" s="34"/>
      <c r="I15" s="34"/>
      <c r="J15" s="41">
        <f>C37*'E Balans VL '!D15/100/3.6*1000000+C37*'E Balans VL '!E15/100/3.6*1000000</f>
        <v>1.4309215318927742</v>
      </c>
      <c r="K15" s="34"/>
      <c r="L15" s="34"/>
      <c r="M15" s="34"/>
      <c r="N15" s="34">
        <f>C37*'E Balans VL '!Y15/100/3.6*1000000</f>
        <v>8.7348432718125508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8481.2990000000009</v>
      </c>
      <c r="C18" s="22">
        <f>C5+C16</f>
        <v>0</v>
      </c>
      <c r="D18" s="22">
        <f>MAX((D5+D16),0)</f>
        <v>493.24065999999999</v>
      </c>
      <c r="E18" s="22">
        <f>MAX((E5+E16),0)</f>
        <v>57.914216581359028</v>
      </c>
      <c r="F18" s="22">
        <f>MAX((F5+F16),0)</f>
        <v>5349.3322319370618</v>
      </c>
      <c r="G18" s="22"/>
      <c r="H18" s="22"/>
      <c r="I18" s="22"/>
      <c r="J18" s="22">
        <f>MAX((J5+J16),0)</f>
        <v>3.0494291580289161</v>
      </c>
      <c r="K18" s="22"/>
      <c r="L18" s="22">
        <f>MAX((L5+L16),0)</f>
        <v>0</v>
      </c>
      <c r="M18" s="22"/>
      <c r="N18" s="22">
        <f>MAX((N5+N16),0)</f>
        <v>530.2369467592074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0.12888457409823162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1093.1086094147579</v>
      </c>
      <c r="C22" s="24">
        <f ca="1">C18*C20</f>
        <v>0</v>
      </c>
      <c r="D22" s="24">
        <f>D18*D20</f>
        <v>99.63461332</v>
      </c>
      <c r="E22" s="24">
        <f>E18*E20</f>
        <v>13.1465271639685</v>
      </c>
      <c r="F22" s="24">
        <f>F18*F20</f>
        <v>1428.2717059271956</v>
      </c>
      <c r="G22" s="24"/>
      <c r="H22" s="24"/>
      <c r="I22" s="24"/>
      <c r="J22" s="24">
        <f>J18*J20</f>
        <v>1.0794979219422363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61.378</v>
      </c>
      <c r="C30" s="40">
        <f>IF(ISERROR(B30*3.6/1000000/'E Balans VL '!Z18*100),0,B30*3.6/1000000/'E Balans VL '!Z18*100)</f>
        <v>3.4152752688353925E-3</v>
      </c>
      <c r="D30" s="236" t="s">
        <v>691</v>
      </c>
    </row>
    <row r="31" spans="1:18">
      <c r="A31" s="6" t="s">
        <v>32</v>
      </c>
      <c r="B31" s="38">
        <f>IF( ISERROR(IND_ander_ele_kWh/1000),0,IND_ander_ele_kWh/1000)</f>
        <v>6398.9939999999997</v>
      </c>
      <c r="C31" s="40">
        <f>IF(ISERROR(B31*3.6/1000000/'E Balans VL '!Z19*100),0,B31*3.6/1000000/'E Balans VL '!Z19*100)</f>
        <v>0.29747242536467577</v>
      </c>
      <c r="D31" s="236" t="s">
        <v>691</v>
      </c>
    </row>
    <row r="32" spans="1:18">
      <c r="A32" s="171" t="s">
        <v>40</v>
      </c>
      <c r="B32" s="38">
        <f>IF( ISERROR(IND_voed_ele_kWh/1000),0,IND_voed_ele_kWh/1000)</f>
        <v>1705.9159999999999</v>
      </c>
      <c r="C32" s="40">
        <f>IF(ISERROR(B32*3.6/1000000/'E Balans VL '!Z20*100),0,B32*3.6/1000000/'E Balans VL '!Z20*100)</f>
        <v>6.0300685356730443E-2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30.463999999999999</v>
      </c>
      <c r="C35" s="40">
        <f>IF(ISERROR(B35*3.6/1000000/'E Balans VL '!Z22*100),0,B35*3.6/1000000/'E Balans VL '!Z22*100)</f>
        <v>6.1224049442224265E-3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284.54700000000003</v>
      </c>
      <c r="C37" s="40">
        <f>IF(ISERROR(B37*3.6/1000000/'E Balans VL '!Z15*100),0,B37*3.6/1000000/'E Balans VL '!Z15*100)</f>
        <v>2.1487501894806213E-3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2863.1559999999999</v>
      </c>
      <c r="C5" s="18">
        <f>'Eigen informatie GS &amp; warmtenet'!B60</f>
        <v>0</v>
      </c>
      <c r="D5" s="31">
        <f>IF(ISERROR(SUM(LB_lb_gas_kWh,LB_rest_gas_kWh)/1000),0,SUM(LB_lb_gas_kWh,LB_rest_gas_kWh)/1000)*0.902</f>
        <v>57.299550000000004</v>
      </c>
      <c r="E5" s="18">
        <f>B17*'E Balans VL '!I25/3.6*1000000/100</f>
        <v>26.97284789744872</v>
      </c>
      <c r="F5" s="18">
        <f>B17*('E Balans VL '!L25/3.6*1000000+'E Balans VL '!N25/3.6*1000000)/100</f>
        <v>9343.4282260269083</v>
      </c>
      <c r="G5" s="19"/>
      <c r="H5" s="18"/>
      <c r="I5" s="18"/>
      <c r="J5" s="18">
        <f>('E Balans VL '!D25+'E Balans VL '!E25)/3.6*1000000*landbouw!B17/100</f>
        <v>354.18632358810885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2863.1559999999999</v>
      </c>
      <c r="C8" s="22">
        <f>C5+C6</f>
        <v>0</v>
      </c>
      <c r="D8" s="22">
        <f>MAX((D5+D6),0)</f>
        <v>57.299550000000004</v>
      </c>
      <c r="E8" s="22">
        <f>MAX((E5+E6),0)</f>
        <v>26.97284789744872</v>
      </c>
      <c r="F8" s="22">
        <f>MAX((F5+F6),0)</f>
        <v>9343.4282260269083</v>
      </c>
      <c r="G8" s="22"/>
      <c r="H8" s="22"/>
      <c r="I8" s="22"/>
      <c r="J8" s="22">
        <f>MAX((J5+J6),0)</f>
        <v>354.18632358810885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0.12888457409823162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369.01664163679646</v>
      </c>
      <c r="C12" s="24">
        <f ca="1">C8*C10</f>
        <v>0</v>
      </c>
      <c r="D12" s="24">
        <f>D8*D10</f>
        <v>11.574509100000002</v>
      </c>
      <c r="E12" s="24">
        <f>E8*E10</f>
        <v>6.1228364727208593</v>
      </c>
      <c r="F12" s="24">
        <f>F8*F10</f>
        <v>2494.6953363491848</v>
      </c>
      <c r="G12" s="24"/>
      <c r="H12" s="24"/>
      <c r="I12" s="24"/>
      <c r="J12" s="24">
        <f>J8*J10</f>
        <v>125.38195855019053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0.38762557062966541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126.18695302024915</v>
      </c>
      <c r="C26" s="246">
        <f>B26*'GWP N2O_CH4'!B5</f>
        <v>2649.9260134252322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94.697492071577713</v>
      </c>
      <c r="C27" s="246">
        <f>B27*'GWP N2O_CH4'!B5</f>
        <v>1988.6473335031319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2.4939830690881779</v>
      </c>
      <c r="C28" s="246">
        <f>B28*'GWP N2O_CH4'!B4</f>
        <v>773.13475141733511</v>
      </c>
      <c r="D28" s="51"/>
    </row>
    <row r="29" spans="1:4">
      <c r="A29" s="42" t="s">
        <v>272</v>
      </c>
      <c r="B29" s="246">
        <f>B34*'ha_N2O bodem landbouw'!B4</f>
        <v>13.137599082562591</v>
      </c>
      <c r="C29" s="246">
        <f>B29*'GWP N2O_CH4'!B4</f>
        <v>4072.6557155944033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3.5467381771671657E-3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2.9385769052615086E-5</v>
      </c>
      <c r="C5" s="435" t="s">
        <v>210</v>
      </c>
      <c r="D5" s="420">
        <f>SUM(D6:D11)</f>
        <v>3.4247077532825482E-5</v>
      </c>
      <c r="E5" s="420">
        <f>SUM(E6:E11)</f>
        <v>2.5033111783333215E-3</v>
      </c>
      <c r="F5" s="433" t="s">
        <v>210</v>
      </c>
      <c r="G5" s="420">
        <f>SUM(G6:G11)</f>
        <v>0.56597525094026435</v>
      </c>
      <c r="H5" s="420">
        <f>SUM(H6:H11)</f>
        <v>8.548529658608256E-2</v>
      </c>
      <c r="I5" s="435" t="s">
        <v>210</v>
      </c>
      <c r="J5" s="435" t="s">
        <v>210</v>
      </c>
      <c r="K5" s="435" t="s">
        <v>210</v>
      </c>
      <c r="L5" s="435" t="s">
        <v>210</v>
      </c>
      <c r="M5" s="420">
        <f>SUM(M6:M11)</f>
        <v>2.9099123250892995E-2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6.7604610507073062E-6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7.8737837308400754E-6</v>
      </c>
      <c r="E6" s="423">
        <f>vkm_GW_PW*SUMIFS(TableVerdeelsleutelVkm[LPG],TableVerdeelsleutelVkm[Voertuigtype],"Lichte voertuigen")*SUMIFS(TableECFTransport[EnergieConsumptieFactor (PJ per km)],TableECFTransport[Index],CONCATENATE($A6,"_LPG_LPG"))</f>
        <v>5.1083085514497955E-4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7.9699217517281901E-2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1.92074988119307E-2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4.4260819969985359E-3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3.2460085799817054E-7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5.3696145480269436E-2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1.4408589260375171E-6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2.3893033071662488E-3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3.1787720723212697E-6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6.0465714378609424E-6</v>
      </c>
      <c r="E8" s="423">
        <f>vkm_NGW_PW*SUMIFS(TableVerdeelsleutelVkm[LPG],TableVerdeelsleutelVkm[Voertuigtype],"Lichte voertuigen")*SUMIFS(TableECFTransport[EnergieConsumptieFactor (PJ per km)],TableECFTransport[Index],CONCATENATE($A8,"_LPG_LPG"))</f>
        <v>3.7167646269704575E-4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5.4591006844169961E-2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1.4060444484984693E-2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3.0731117909035847E-3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4.653856292122012E-8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9.872143083576047E-3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2.493453149670746E-7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4.3927744975041125E-4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1.8224523481125225E-5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2.0326722364124461E-5</v>
      </c>
      <c r="E10" s="423">
        <f>vkm_SW_PW*SUMIFS(TableVerdeelsleutelVkm[LPG],TableVerdeelsleutelVkm[Voertuigtype],"Lichte voertuigen")*SUMIFS(TableECFTransport[EnergieConsumptieFactor (PJ per km)],TableECFTransport[Index],CONCATENATE($A10,"_LPG_LPG"))</f>
        <v>1.6208038604912959E-3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0.23627098335355609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5.2211775615431916E-2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1.2904626715866627E-2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8.5087302754189406E-7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0.13184575466141094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3.8874694942554949E-6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5.8667219902075879E-3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8.162713625726413</v>
      </c>
      <c r="C14" s="22"/>
      <c r="D14" s="22">
        <f t="shared" ref="D14:M14" si="0">((D5)*10^9/3600)+D12</f>
        <v>9.5130770924515229</v>
      </c>
      <c r="E14" s="22">
        <f t="shared" si="0"/>
        <v>695.36421620370049</v>
      </c>
      <c r="F14" s="22"/>
      <c r="G14" s="22">
        <f t="shared" si="0"/>
        <v>157215.34748340677</v>
      </c>
      <c r="H14" s="22">
        <f t="shared" si="0"/>
        <v>23745.915718356267</v>
      </c>
      <c r="I14" s="22"/>
      <c r="J14" s="22"/>
      <c r="K14" s="22"/>
      <c r="L14" s="22"/>
      <c r="M14" s="22">
        <f t="shared" si="0"/>
        <v>8083.0897919147201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0.12888457409823162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1.0520478691375807</v>
      </c>
      <c r="C18" s="24"/>
      <c r="D18" s="24">
        <f t="shared" ref="D18:M18" si="1">D14*D16</f>
        <v>1.9216415726752079</v>
      </c>
      <c r="E18" s="24">
        <f t="shared" si="1"/>
        <v>157.84767707824003</v>
      </c>
      <c r="F18" s="24"/>
      <c r="G18" s="24">
        <f t="shared" si="1"/>
        <v>41976.497778069614</v>
      </c>
      <c r="H18" s="24">
        <f t="shared" si="1"/>
        <v>5912.7330138707102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2.1427217389497903E-5</v>
      </c>
      <c r="C50" s="316">
        <f t="shared" ref="C50:P50" si="2">SUM(C51:C52)</f>
        <v>0</v>
      </c>
      <c r="D50" s="316">
        <f t="shared" si="2"/>
        <v>0</v>
      </c>
      <c r="E50" s="316">
        <f t="shared" si="2"/>
        <v>0</v>
      </c>
      <c r="F50" s="316">
        <f t="shared" si="2"/>
        <v>0</v>
      </c>
      <c r="G50" s="316">
        <f t="shared" si="2"/>
        <v>4.2737007534946643E-3</v>
      </c>
      <c r="H50" s="316">
        <f t="shared" si="2"/>
        <v>0</v>
      </c>
      <c r="I50" s="316">
        <f t="shared" si="2"/>
        <v>0</v>
      </c>
      <c r="J50" s="316">
        <f t="shared" si="2"/>
        <v>0</v>
      </c>
      <c r="K50" s="316">
        <f t="shared" si="2"/>
        <v>0</v>
      </c>
      <c r="L50" s="316">
        <f t="shared" si="2"/>
        <v>0</v>
      </c>
      <c r="M50" s="316">
        <f t="shared" si="2"/>
        <v>1.8889302155765576E-4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2.1427217389497903E-5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4.2737007534946643E-3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1.8889302155765576E-4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5.952004830416084</v>
      </c>
      <c r="C54" s="22">
        <f t="shared" ref="C54:P54" si="3">(C50)*10^9/3600</f>
        <v>0</v>
      </c>
      <c r="D54" s="22">
        <f t="shared" si="3"/>
        <v>0</v>
      </c>
      <c r="E54" s="22">
        <f t="shared" si="3"/>
        <v>0</v>
      </c>
      <c r="F54" s="22">
        <f t="shared" si="3"/>
        <v>0</v>
      </c>
      <c r="G54" s="22">
        <f t="shared" si="3"/>
        <v>1187.1390981929621</v>
      </c>
      <c r="H54" s="22">
        <f t="shared" si="3"/>
        <v>0</v>
      </c>
      <c r="I54" s="22">
        <f t="shared" si="3"/>
        <v>0</v>
      </c>
      <c r="J54" s="22">
        <f t="shared" si="3"/>
        <v>0</v>
      </c>
      <c r="K54" s="22">
        <f t="shared" si="3"/>
        <v>0</v>
      </c>
      <c r="L54" s="22">
        <f t="shared" si="3"/>
        <v>0</v>
      </c>
      <c r="M54" s="22">
        <f t="shared" si="3"/>
        <v>52.470283766015491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0.12888457409823162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0.76712160759879433</v>
      </c>
      <c r="C58" s="24">
        <f t="shared" ref="C58:P58" ca="1" si="4">C54*C56</f>
        <v>0</v>
      </c>
      <c r="D58" s="24">
        <f t="shared" si="4"/>
        <v>0</v>
      </c>
      <c r="E58" s="24">
        <f t="shared" si="4"/>
        <v>0</v>
      </c>
      <c r="F58" s="24">
        <f t="shared" si="4"/>
        <v>0</v>
      </c>
      <c r="G58" s="24">
        <f t="shared" si="4"/>
        <v>316.96613921752089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7615.1509853031503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3983.2408125674501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11598.391797870601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2021-06-29T16:41:08Z</dcterms:modified>
</cp:coreProperties>
</file>