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<sst xmlns="http://schemas.openxmlformats.org/spreadsheetml/2006/main" count="2565" uniqueCount="965">
  <si>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</si>
  <si>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</si>
  <si>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</si>
  <si>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</si>
  <si>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</si>
  <si>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</si>
  <si>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</si>
  <si>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</si>
  <si>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</si>
  <si>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</si>
  <si>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</si>
  <si>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</si>
  <si>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</si>
  <si>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</si>
  <si>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</si>
  <si>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</si>
  <si>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</si>
  <si>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</si>
  <si>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</si>
  <si>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</si>
  <si>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</si>
  <si>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</si>
  <si>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</si>
  <si>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</si>
  <si>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</si>
  <si>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</si>
  <si>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</si>
  <si>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</si>
  <si>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</si>
  <si>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</si>
  <si>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</si>
  <si>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</si>
  <si>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</si>
  <si>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</si>
  <si>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</si>
  <si>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</si>
  <si>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</si>
  <si>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</si>
  <si>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</si>
  <si>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</si>
  <si>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</si>
  <si>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</si>
  <si>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</si>
  <si>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</si>
  <si>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</si>
  <si>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</si>
  <si>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</si>
  <si>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</si>
  <si>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</si>
  <si>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</si>
  <si>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</si>
  <si>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</si>
  <si>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</si>
  <si>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</si>
  <si>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</si>
  <si>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</si>
  <si>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</si>
  <si>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</si>
  <si>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</si>
  <si>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</si>
  <si>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</si>
  <si>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</si>
  <si>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</si>
  <si>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</si>
  <si>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</si>
  <si>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</si>
  <si>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</si>
  <si>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</si>
  <si>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</si>
  <si>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</si>
  <si>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</si>
  <si>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</si>
  <si>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</si>
  <si>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</si>
  <si>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</si>
  <si>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</si>
  <si>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</si>
  <si>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</si>
  <si>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</si>
  <si>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</si>
  <si>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</si>
  <si>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</si>
  <si>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</si>
  <si>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</si>
  <si>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</si>
  <si>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</si>
  <si>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</si>
  <si>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</si>
  <si>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</si>
  <si>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</si>
  <si>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</si>
  <si>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</si>
  <si>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</si>
  <si>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</si>
  <si>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</si>
  <si>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</si>
  <si>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</si>
  <si>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</si>
  <si>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</si>
  <si>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</si>
  <si>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</si>
  <si>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</si>
  <si>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</si>
  <si>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</si>
  <si>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</si>
  <si>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</si>
  <si>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</si>
  <si>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</si>
  <si>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</si>
  <si>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</si>
  <si>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</si>
  <si>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</si>
  <si>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</si>
  <si>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</si>
  <si>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</si>
  <si>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</si>
  <si>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</si>
  <si>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</si>
  <si>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</si>
  <si>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</si>
  <si>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</si>
  <si>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</si>
  <si>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</si>
  <si>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</si>
  <si>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</si>
  <si>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</si>
  <si>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</si>
  <si>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</si>
  <si>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</si>
  <si>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</si>
  <si>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</si>
  <si>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</si>
  <si>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</si>
  <si>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</si>
  <si>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</si>
  <si>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</si>
  <si>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</si>
  <si>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</si>
  <si>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</si>
  <si>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</si>
  <si>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</si>
  <si>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</si>
  <si>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</si>
  <si>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</si>
  <si>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</si>
  <si>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</si>
  <si>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</si>
  <si>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</si>
  <si>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</si>
  <si>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</si>
  <si>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</si>
  <si>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</si>
  <si>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</si>
  <si>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</si>
  <si>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</si>
  <si>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</si>
  <si>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</si>
  <si>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</si>
  <si>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</si>
  <si>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</si>
  <si>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</si>
  <si>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</si>
  <si>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</si>
  <si>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</si>
  <si>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</si>
  <si>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</si>
  <si>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</si>
  <si>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</si>
  <si>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</si>
  <si>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</si>
  <si>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</si>
  <si>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</si>
  <si>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</si>
  <si>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</si>
  <si>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</si>
  <si>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</si>
  <si>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</si>
  <si>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</si>
  <si>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</si>
  <si>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</si>
  <si>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</si>
  <si>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</si>
  <si>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</si>
  <si>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</si>
  <si>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</si>
  <si>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</si>
  <si>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</si>
  <si>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</si>
  <si>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</si>
  <si>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</si>
  <si>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</si>
  <si>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</si>
  <si>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</si>
  <si>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</si>
  <si>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</si>
  <si>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</si>
  <si>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</si>
  <si>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</si>
  <si>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</si>
  <si>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</si>
  <si>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</si>
  <si>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</si>
  <si>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</si>
  <si>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</si>
  <si>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</si>
  <si>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</si>
  <si>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</si>
  <si>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</si>
  <si>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</si>
  <si>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</si>
  <si>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</si>
  <si>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</si>
  <si>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</si>
  <si>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</si>
  <si>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</si>
  <si>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</si>
  <si>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</si>
  <si>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</si>
  <si>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</si>
  <si>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</si>
  <si>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</si>
  <si>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</si>
  <si>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</si>
  <si>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</si>
  <si>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</si>
  <si>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</si>
  <si>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</si>
  <si>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</si>
  <si>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</si>
  <si>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</si>
  <si>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</si>
  <si>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</si>
  <si>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</si>
  <si>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</si>
  <si>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</si>
  <si>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</si>
  <si>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</si>
  <si>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</si>
  <si>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</si>
  <si>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</si>
  <si>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</si>
  <si>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</si>
  <si>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</si>
  <si>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</si>
  <si>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</si>
  <si>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</si>
  <si>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</si>
  <si>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</si>
  <si>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</si>
  <si>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</si>
  <si>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</si>
  <si>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</si>
  <si>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</si>
  <si>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</si>
  <si>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</si>
  <si>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</si>
  <si>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</si>
  <si>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</si>
  <si>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</si>
  <si>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</si>
  <si>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</si>
  <si>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</si>
  <si>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</si>
  <si>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</si>
  <si>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</si>
  <si>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</si>
  <si>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</si>
  <si>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</si>
  <si>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</si>
  <si>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</si>
  <si>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</si>
  <si>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</si>
  <si>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</si>
  <si>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</si>
  <si>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</si>
  <si>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</si>
  <si>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</si>
  <si>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</si>
  <si>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</si>
  <si>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</si>
  <si>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</si>
  <si>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</si>
  <si>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</si>
  <si>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</si>
  <si>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</si>
  <si>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</si>
  <si>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</si>
  <si>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</si>
  <si>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</si>
  <si>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</si>
  <si>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</si>
  <si>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</si>
  <si>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</si>
  <si>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</si>
  <si>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</si>
  <si>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</si>
  <si>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</si>
  <si>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</si>
  <si>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</si>
  <si>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</si>
  <si>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</si>
  <si>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</si>
  <si>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</si>
  <si>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</si>
  <si>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</si>
  <si>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</si>
  <si>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</si>
  <si>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</si>
  <si>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</si>
  <si>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</si>
  <si>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</si>
  <si>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</si>
  <si>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</si>
  <si>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</si>
  <si>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</si>
  <si>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</si>
  <si>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</si>
  <si>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</si>
  <si>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</si>
  <si>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</si>
  <si>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</si>
  <si>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</si>
  <si>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</si>
  <si>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</si>
  <si>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</si>
  <si>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</si>
  <si>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</si>
  <si>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</si>
  <si>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</si>
  <si>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</si>
  <si>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</si>
  <si>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</si>
  <si>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</si>
  <si>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</si>
  <si>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</si>
  <si>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</si>
  <si>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</si>
  <si>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</si>
  <si>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</si>
  <si>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</si>
  <si>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</si>
  <si>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</si>
  <si>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</si>
  <si>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</si>
  <si>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</si>
  <si>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</si>
  <si>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</si>
  <si>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</si>
  <si>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</si>
  <si>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</si>
  <si>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</si>
  <si>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</si>
  <si>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</si>
  <si>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</si>
  <si>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</si>
  <si>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</si>
  <si>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</si>
  <si>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</si>
  <si>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</si>
  <si>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</si>
  <si>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</si>
  <si>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</si>
  <si>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</si>
  <si>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</si>
  <si>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</si>
  <si>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</si>
  <si>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</si>
  <si>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</si>
  <si>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</si>
  <si>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</si>
  <si>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</si>
  <si>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</si>
  <si>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</si>
  <si>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</si>
  <si>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</si>
  <si>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</si>
  <si>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</si>
  <si>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</si>
  <si>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</si>
  <si>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</si>
  <si>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</si>
  <si>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</si>
  <si>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</si>
  <si>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</si>
  <si>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</si>
  <si>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</si>
  <si>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</si>
  <si>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</si>
  <si>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</si>
  <si>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</si>
  <si>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</si>
  <si>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</si>
  <si>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</si>
  <si>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</si>
  <si>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</si>
  <si>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</si>
  <si>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</si>
  <si>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</si>
  <si>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</si>
  <si>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</si>
  <si>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</si>
  <si>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</si>
  <si>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</si>
  <si>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</si>
  <si>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</si>
  <si>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</si>
  <si>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</si>
  <si>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</si>
  <si>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</si>
  <si>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</si>
  <si>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</si>
  <si>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</si>
  <si>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</si>
  <si>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</si>
  <si>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</si>
  <si>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</si>
  <si>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</si>
  <si>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</si>
  <si>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</si>
  <si>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</si>
  <si>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</si>
  <si>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</si>
  <si>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</si>
  <si>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</si>
  <si>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</si>
  <si>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</si>
  <si>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</si>
  <si>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</si>
  <si>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</si>
  <si>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</si>
  <si>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</si>
  <si>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</si>
  <si>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</si>
  <si>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</si>
  <si>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</si>
  <si>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</si>
  <si>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</si>
  <si>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</si>
  <si>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</si>
  <si>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</si>
  <si>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</si>
  <si>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</si>
  <si>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</si>
  <si>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</si>
  <si>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</si>
  <si>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</si>
  <si>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</si>
  <si>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</si>
  <si>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</si>
  <si>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</si>
  <si>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</si>
  <si>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</si>
  <si>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</si>
  <si>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</si>
  <si>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</si>
  <si>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</si>
  <si>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</si>
  <si>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</si>
  <si>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</si>
  <si>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</si>
  <si>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</si>
  <si>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</si>
  <si>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</si>
  <si>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</si>
  <si>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</si>
  <si>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</si>
  <si>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</si>
  <si>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</si>
  <si>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</si>
  <si>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</si>
  <si>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</si>
  <si>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</si>
  <si>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</si>
  <si>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</si>
  <si>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</si>
  <si>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</si>
  <si>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</si>
  <si>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</si>
  <si>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</si>
  <si>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</si>
  <si>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</si>
  <si>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</si>
  <si>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</si>
  <si>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</si>
  <si>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</si>
  <si>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</si>
  <si>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</si>
  <si>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</si>
  <si>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</si>
  <si>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</si>
  <si>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</si>
  <si>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</si>
  <si>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</si>
  <si>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</si>
  <si>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</si>
  <si>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</si>
  <si>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</si>
  <si>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</si>
  <si>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</si>
  <si>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</si>
  <si>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</si>
  <si>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</si>
  <si>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</si>
  <si>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</si>
  <si>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</si>
  <si>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</si>
  <si>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</si>
  <si>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</si>
  <si>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</si>
  <si>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</si>
  <si>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</si>
  <si>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</si>
  <si>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</si>
  <si>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</si>
  <si>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</si>
  <si>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</si>
  <si>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</si>
  <si>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</si>
  <si>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</si>
  <si>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</si>
  <si>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</si>
  <si>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</si>
  <si>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</si>
  <si>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</si>
  <si>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</si>
  <si>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</si>
  <si>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</si>
  <si>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</si>
  <si>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</si>
  <si>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</si>
  <si>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</si>
  <si>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</si>
  <si>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</si>
  <si>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</si>
  <si>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</si>
  <si>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</si>
  <si>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</si>
  <si>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</si>
  <si>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</si>
  <si>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</si>
  <si>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</si>
  <si>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</si>
  <si>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</si>
  <si>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</si>
  <si>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</si>
  <si>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</si>
  <si>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</si>
  <si>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</si>
  <si>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</si>
  <si>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</si>
  <si>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</si>
  <si>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</si>
  <si>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</si>
  <si>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</si>
  <si>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</si>
  <si>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</si>
  <si>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</si>
  <si>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</si>
  <si>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</si>
  <si>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</si>
  <si>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</si>
  <si>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</si>
  <si>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</si>
  <si>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</si>
  <si>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</si>
  <si>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</si>
  <si>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</si>
  <si>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</si>
  <si>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</si>
  <si>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</si>
  <si>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</si>
  <si>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</si>
  <si>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</si>
  <si>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</si>
  <si>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</si>
  <si>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</si>
  <si>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</si>
  <si>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</si>
  <si>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</si>
  <si>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</si>
  <si>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</si>
  <si>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</si>
  <si>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</si>
  <si>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</si>
  <si>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</si>
  <si>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</si>
  <si>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</si>
  <si>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</si>
  <si>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</si>
  <si>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</si>
  <si>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</si>
  <si>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</si>
  <si>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</si>
  <si>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</si>
  <si>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</si>
  <si>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</si>
  <si>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</si>
  <si>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</si>
  <si>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</si>
  <si>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</si>
  <si>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</si>
  <si>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</si>
  <si>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</si>
  <si>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</si>
  <si>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</si>
  <si>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</si>
  <si>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</si>
  <si>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</si>
  <si>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</si>
  <si>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</si>
  <si>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</si>
  <si>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</si>
  <si>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</si>
  <si>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</si>
  <si>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</si>
  <si>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</si>
  <si>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</si>
  <si>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</si>
  <si>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</si>
  <si>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</si>
  <si>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</si>
  <si>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</si>
  <si>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</si>
  <si>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</si>
  <si>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</si>
  <si>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</si>
  <si>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</si>
  <si>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</si>
  <si>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</si>
  <si>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</si>
  <si>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</si>
  <si>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</si>
  <si>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</si>
  <si>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</si>
  <si>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</si>
  <si>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</si>
  <si>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</si>
  <si>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</si>
  <si>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</si>
  <si>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</si>
  <si>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</si>
  <si>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</si>
  <si>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</si>
  <si>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</si>
  <si>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</si>
  <si>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</si>
  <si>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</si>
  <si>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</si>
  <si>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</si>
  <si>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</si>
  <si>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</si>
  <si>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</si>
  <si>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</si>
  <si>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</si>
  <si>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</si>
  <si>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</si>
  <si>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</si>
  <si>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</si>
  <si>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</si>
  <si>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</si>
  <si>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</si>
  <si>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</si>
  <si>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</si>
  <si>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</si>
  <si>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</si>
  <si>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</si>
  <si>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</si>
  <si>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</si>
  <si>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</si>
  <si>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</si>
  <si>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</si>
  <si>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</si>
  <si>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</si>
  <si>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</si>
  <si>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</si>
  <si>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</si>
  <si>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</si>
  <si>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</si>
  <si>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</si>
  <si>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</si>
  <si>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</si>
  <si>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</si>
  <si>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</si>
  <si>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</si>
  <si>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</si>
  <si>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</si>
  <si>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</si>
  <si>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</si>
  <si>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</si>
  <si>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</si>
  <si>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</si>
  <si>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</si>
  <si>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</si>
  <si>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</si>
  <si>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</si>
  <si>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</si>
  <si>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</si>
  <si>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</si>
  <si>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</si>
  <si>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</si>
  <si>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</si>
  <si>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</si>
  <si>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</si>
  <si>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</si>
  <si>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</si>
  <si>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</si>
  <si>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</si>
  <si>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</si>
  <si>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</si>
  <si>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</si>
  <si>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</si>
  <si>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</si>
  <si>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</si>
  <si>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</si>
  <si>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</si>
  <si>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</si>
  <si>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</si>
  <si>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</si>
  <si>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</si>
  <si>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</si>
  <si>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</si>
  <si>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</si>
  <si>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</si>
  <si>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</si>
  <si>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</si>
  <si>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</si>
  <si>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</si>
  <si>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</si>
  <si>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</si>
  <si>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</si>
  <si>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</si>
  <si>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</si>
  <si>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</si>
  <si>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</si>
  <si>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</si>
  <si>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</si>
  <si>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</si>
  <si>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</si>
  <si>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</si>
  <si>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</si>
  <si>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</si>
  <si>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</si>
  <si>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</si>
  <si>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</si>
  <si>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</si>
  <si>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</si>
  <si>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</si>
  <si>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</si>
  <si>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</si>
  <si>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</si>
  <si>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</si>
  <si>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</si>
  <si>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</si>
  <si>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</si>
  <si>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</si>
  <si>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</si>
  <si>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</si>
  <si>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</si>
  <si>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</si>
  <si>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</si>
  <si>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</si>
  <si>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</si>
  <si>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</si>
  <si>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</si>
  <si>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</si>
  <si>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</si>
  <si>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</si>
  <si>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</si>
  <si>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</si>
  <si>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</si>
  <si>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</si>
  <si>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</si>
  <si>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</si>
  <si>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</si>
  <si>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</si>
  <si>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</si>
  <si>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</si>
  <si>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</si>
  <si>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</si>
  <si>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</si>
  <si>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</si>
  <si>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</si>
  <si>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</si>
  <si>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</si>
  <si>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</si>
  <si>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</si>
  <si>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</si>
  <si>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</si>
  <si>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</si>
  <si>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</si>
  <si>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</si>
  <si>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</si>
  <si>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</si>
  <si>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</si>
  <si>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</si>
  <si>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</si>
  <si>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</si>
  <si>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</si>
  <si>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</si>
  <si>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</si>
  <si>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</si>
  <si>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</si>
  <si>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</si>
  <si>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</si>
  <si>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</si>
  <si>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</si>
  <si>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</si>
  <si>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</si>
  <si>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</si>
  <si>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</si>
  <si>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</si>
  <si>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</si>
  <si>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</si>
  <si>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</si>
  <si>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</si>
  <si>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</si>
  <si>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</si>
  <si>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</si>
  <si>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</si>
  <si>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</si>
  <si>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</si>
  <si>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</si>
  <si>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</si>
  <si>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</si>
  <si>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</si>
  <si>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</si>
  <si>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</si>
  <si>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</si>
  <si>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</si>
  <si>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</si>
  <si>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</si>
  <si>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</si>
  <si>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</si>
  <si>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</si>
  <si>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</si>
  <si>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</si>
  <si>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</si>
  <si>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</si>
  <si>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</si>
  <si>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</si>
  <si>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</si>
  <si>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</si>
  <si>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</si>
  <si>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</si>
  <si>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</si>
  <si>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</si>
  <si>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</si>
  <si>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</si>
  <si>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</si>
  <si>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</si>
  <si>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</si>
  <si>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</si>
  <si>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</si>
  <si>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</si>
  <si>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</si>
  <si>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</si>
  <si>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</si>
  <si>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</si>
  <si>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</si>
  <si>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</si>
  <si>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</si>
  <si>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</si>
  <si>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</si>
  <si>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</si>
  <si>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</si>
  <si>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</si>
  <si>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</si>
  <si>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</si>
  <si>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</si>
  <si>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</si>
  <si>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</si>
  <si>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</si>
  <si>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</si>
  <si>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</si>
  <si>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</si>
  <si>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</si>
  <si>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</si>
  <si>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</si>
  <si>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</si>
  <si>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</si>
  <si>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</si>
  <si>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</si>
  <si>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</si>
  <si>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</si>
  <si>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</si>
  <si>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</si>
  <si>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</si>
  <si>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</si>
  <si>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</si>
  <si>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</si>
  <si>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</si>
  <si>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</si>
  <si>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</si>
  <si>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</si>
  <si>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</si>
  <si>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</si>
  <si>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</si>
  <si>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</si>
  <si>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</si>
  <si>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</si>
  <si>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</si>
  <si>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</si>
  <si>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</si>
  <si>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</si>
  <si>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</si>
  <si>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</si>
  <si>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</si>
  <si>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</si>
  <si>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</si>
  <si>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</si>
  <si>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</si>
  <si>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</si>
  <si>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</si>
  <si>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</si>
  <si>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</si>
  <si>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</si>
  <si>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</si>
  <si>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</si>
  <si>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</si>
  <si>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</si>
  <si>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</si>
  <si>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</si>
  <si>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</si>
  <si>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</si>
  <si>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</si>
  <si>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</si>
  <si>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</si>
  <si>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</si>
  <si>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</si>
  <si>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</si>
  <si>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</si>
  <si>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</si>
  <si>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</si>
  <si>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</si>
  <si>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</si>
  <si>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</si>
  <si>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</si>
  <si>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</si>
  <si>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</si>
  <si>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</si>
  <si>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</si>
  <si>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</si>
  <si>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</si>
  <si>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</si>
  <si>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</si>
  <si>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</si>
  <si>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</si>
  <si>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</si>
  <si>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</si>
  <si>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</si>
  <si>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</si>
  <si>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</si>
  <si>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</si>
  <si>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</si>
  <si>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</si>
  <si>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</si>
  <si>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</si>
  <si>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</si>
  <si>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</si>
  <si>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24001</t>
  </si>
  <si>
    <t>AARSCHOT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</si>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</sst>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24001</v>
      </c>
      <c r="B6" s="386"/>
      <c r="C6" s="387"/>
    </row>
    <row r="7" spans="1:7" s="384" customFormat="1" ht="15.75" customHeight="1">
      <c r="A7" s="388" t="str">
        <f>txtMunicipality</f>
        <v>AARSCHOT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40940.767436258633</v>
      </c>
      <c r="D10" s="676">
        <f ca="1">tertiair!C16</f>
        <v>0</v>
      </c>
      <c r="E10" s="676">
        <f ca="1">tertiair!D16</f>
        <v>46902.823459142834</v>
      </c>
      <c r="F10" s="676">
        <f>tertiair!E16</f>
        <v>391.2649984328873</v>
      </c>
      <c r="G10" s="676">
        <f ca="1">tertiair!F16</f>
        <v>8937.173378266898</v>
      </c>
      <c r="H10" s="676">
        <f>tertiair!G16</f>
        <v>0</v>
      </c>
      <c r="I10" s="676">
        <f>tertiair!H16</f>
        <v>0</v>
      </c>
      <c r="J10" s="676">
        <f>tertiair!I16</f>
        <v>0</v>
      </c>
      <c r="K10" s="676">
        <f>tertiair!J16</f>
        <v>0</v>
      </c>
      <c r="L10" s="676">
        <f>tertiair!K16</f>
        <v>0</v>
      </c>
      <c r="M10" s="676">
        <f ca="1">tertiair!L16</f>
        <v>0</v>
      </c>
      <c r="N10" s="676">
        <f>tertiair!M16</f>
        <v>0</v>
      </c>
      <c r="O10" s="676">
        <f ca="1">tertiair!N16</f>
        <v>4661.0326717347707</v>
      </c>
      <c r="P10" s="676">
        <f>tertiair!O16</f>
        <v>1.5633333333333335</v>
      </c>
      <c r="Q10" s="677">
        <f>tertiair!P16</f>
        <v>76.266666666666666</v>
      </c>
      <c r="R10" s="679">
        <f ca="1">SUM(C10:Q10)</f>
        <v>101910.89194383602</v>
      </c>
      <c r="S10" s="68"/>
    </row>
    <row r="11" spans="1:19" s="445" customFormat="1">
      <c r="A11" s="791" t="s">
        <v>220</v>
      </c>
      <c r="B11" s="796"/>
      <c r="C11" s="676">
        <f>huishoudens!B8</f>
        <v>54938.409997307434</v>
      </c>
      <c r="D11" s="676">
        <f>huishoudens!C8</f>
        <v>0</v>
      </c>
      <c r="E11" s="676">
        <f>huishoudens!D8</f>
        <v>82937.761520201238</v>
      </c>
      <c r="F11" s="676">
        <f>huishoudens!E8</f>
        <v>3890.5073206328843</v>
      </c>
      <c r="G11" s="676">
        <f>huishoudens!F8</f>
        <v>118610.27291229296</v>
      </c>
      <c r="H11" s="676">
        <f>huishoudens!G8</f>
        <v>0</v>
      </c>
      <c r="I11" s="676">
        <f>huishoudens!H8</f>
        <v>0</v>
      </c>
      <c r="J11" s="676">
        <f>huishoudens!I8</f>
        <v>0</v>
      </c>
      <c r="K11" s="676">
        <f>huishoudens!J8</f>
        <v>2152.1420727380951</v>
      </c>
      <c r="L11" s="676">
        <f>huishoudens!K8</f>
        <v>0</v>
      </c>
      <c r="M11" s="676">
        <f>huishoudens!L8</f>
        <v>0</v>
      </c>
      <c r="N11" s="676">
        <f>huishoudens!M8</f>
        <v>0</v>
      </c>
      <c r="O11" s="676">
        <f>huishoudens!N8</f>
        <v>19284.613677027133</v>
      </c>
      <c r="P11" s="676">
        <f>huishoudens!O8</f>
        <v>114.12333333333335</v>
      </c>
      <c r="Q11" s="677">
        <f>huishoudens!P8</f>
        <v>915.2</v>
      </c>
      <c r="R11" s="679">
        <f>SUM(C11:Q11)</f>
        <v>282843.03083353309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40687.014007379796</v>
      </c>
      <c r="D13" s="676">
        <f>industrie!C18</f>
        <v>0</v>
      </c>
      <c r="E13" s="676">
        <f>industrie!D18</f>
        <v>21669.007050702694</v>
      </c>
      <c r="F13" s="676">
        <f>industrie!E18</f>
        <v>418.48876598729896</v>
      </c>
      <c r="G13" s="676">
        <f>industrie!F18</f>
        <v>9879.441420658437</v>
      </c>
      <c r="H13" s="676">
        <f>industrie!G18</f>
        <v>0</v>
      </c>
      <c r="I13" s="676">
        <f>industrie!H18</f>
        <v>0</v>
      </c>
      <c r="J13" s="676">
        <f>industrie!I18</f>
        <v>0</v>
      </c>
      <c r="K13" s="676">
        <f>industrie!J18</f>
        <v>185.36103573479156</v>
      </c>
      <c r="L13" s="676">
        <f>industrie!K18</f>
        <v>0</v>
      </c>
      <c r="M13" s="676">
        <f>industrie!L18</f>
        <v>0</v>
      </c>
      <c r="N13" s="676">
        <f>industrie!M18</f>
        <v>0</v>
      </c>
      <c r="O13" s="676">
        <f>industrie!N18</f>
        <v>2074.6850986158906</v>
      </c>
      <c r="P13" s="676">
        <f>industrie!O18</f>
        <v>0</v>
      </c>
      <c r="Q13" s="677">
        <f>industrie!P18</f>
        <v>0</v>
      </c>
      <c r="R13" s="679">
        <f>SUM(C13:Q13)</f>
        <v>74913.997379078923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136566.19144094587</v>
      </c>
      <c r="D16" s="709">
        <f t="shared" ref="D16:R16" ca="1" si="0">SUM(D9:D15)</f>
        <v>0</v>
      </c>
      <c r="E16" s="709">
        <f t="shared" ca="1" si="0"/>
        <v>151509.59203004677</v>
      </c>
      <c r="F16" s="709">
        <f t="shared" si="0"/>
        <v>4700.2610850530709</v>
      </c>
      <c r="G16" s="709">
        <f t="shared" ca="1" si="0"/>
        <v>137426.8877112183</v>
      </c>
      <c r="H16" s="709">
        <f t="shared" si="0"/>
        <v>0</v>
      </c>
      <c r="I16" s="709">
        <f t="shared" si="0"/>
        <v>0</v>
      </c>
      <c r="J16" s="709">
        <f t="shared" si="0"/>
        <v>0</v>
      </c>
      <c r="K16" s="709">
        <f t="shared" si="0"/>
        <v>2337.5031084728867</v>
      </c>
      <c r="L16" s="709">
        <f t="shared" si="0"/>
        <v>0</v>
      </c>
      <c r="M16" s="709">
        <f t="shared" ca="1" si="0"/>
        <v>0</v>
      </c>
      <c r="N16" s="709">
        <f t="shared" si="0"/>
        <v>0</v>
      </c>
      <c r="O16" s="709">
        <f t="shared" ca="1" si="0"/>
        <v>26020.331447377794</v>
      </c>
      <c r="P16" s="709">
        <f t="shared" si="0"/>
        <v>115.68666666666668</v>
      </c>
      <c r="Q16" s="709">
        <f t="shared" si="0"/>
        <v>991.4666666666667</v>
      </c>
      <c r="R16" s="709">
        <f t="shared" ca="1" si="0"/>
        <v>459667.92015644803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19.847659234871699</v>
      </c>
      <c r="D19" s="676">
        <f>transport!C54</f>
        <v>0</v>
      </c>
      <c r="E19" s="676">
        <f>transport!D54</f>
        <v>0</v>
      </c>
      <c r="F19" s="676">
        <f>transport!E54</f>
        <v>0</v>
      </c>
      <c r="G19" s="676">
        <f>transport!F54</f>
        <v>0</v>
      </c>
      <c r="H19" s="676">
        <f>transport!G54</f>
        <v>3958.6547653523448</v>
      </c>
      <c r="I19" s="676">
        <f>transport!H54</f>
        <v>0</v>
      </c>
      <c r="J19" s="676">
        <f>transport!I54</f>
        <v>0</v>
      </c>
      <c r="K19" s="676">
        <f>transport!J54</f>
        <v>0</v>
      </c>
      <c r="L19" s="676">
        <f>transport!K54</f>
        <v>0</v>
      </c>
      <c r="M19" s="676">
        <f>transport!L54</f>
        <v>0</v>
      </c>
      <c r="N19" s="676">
        <f>transport!M54</f>
        <v>174.96832442457787</v>
      </c>
      <c r="O19" s="676">
        <f>transport!N54</f>
        <v>0</v>
      </c>
      <c r="P19" s="676">
        <f>transport!O54</f>
        <v>0</v>
      </c>
      <c r="Q19" s="677">
        <f>transport!P54</f>
        <v>0</v>
      </c>
      <c r="R19" s="679">
        <f>SUM(C19:Q19)</f>
        <v>4153.4707490117944</v>
      </c>
      <c r="S19" s="68"/>
    </row>
    <row r="20" spans="1:19" s="445" customFormat="1">
      <c r="A20" s="791" t="s">
        <v>302</v>
      </c>
      <c r="B20" s="796"/>
      <c r="C20" s="676">
        <f>transport!B14</f>
        <v>13.761980434875479</v>
      </c>
      <c r="D20" s="676">
        <f>transport!C14</f>
        <v>0</v>
      </c>
      <c r="E20" s="676">
        <f>transport!D14</f>
        <v>16.737433848016284</v>
      </c>
      <c r="F20" s="676">
        <f>transport!E14</f>
        <v>1172.2190714353171</v>
      </c>
      <c r="G20" s="676">
        <f>transport!F14</f>
        <v>0</v>
      </c>
      <c r="H20" s="676">
        <f>transport!G14</f>
        <v>253607.15183306288</v>
      </c>
      <c r="I20" s="676">
        <f>transport!H14</f>
        <v>41240.100564055945</v>
      </c>
      <c r="J20" s="676">
        <f>transport!I14</f>
        <v>0</v>
      </c>
      <c r="K20" s="676">
        <f>transport!J14</f>
        <v>0</v>
      </c>
      <c r="L20" s="676">
        <f>transport!K14</f>
        <v>0</v>
      </c>
      <c r="M20" s="676">
        <f>transport!L14</f>
        <v>0</v>
      </c>
      <c r="N20" s="676">
        <f>transport!M14</f>
        <v>13173.436328933845</v>
      </c>
      <c r="O20" s="676">
        <f>transport!N14</f>
        <v>0</v>
      </c>
      <c r="P20" s="676">
        <f>transport!O14</f>
        <v>0</v>
      </c>
      <c r="Q20" s="677">
        <f>transport!P14</f>
        <v>0</v>
      </c>
      <c r="R20" s="679">
        <f>SUM(C20:Q20)</f>
        <v>309223.40721177089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33.609639669747182</v>
      </c>
      <c r="D22" s="794">
        <f t="shared" ref="D22:R22" si="1">SUM(D18:D21)</f>
        <v>0</v>
      </c>
      <c r="E22" s="794">
        <f t="shared" si="1"/>
        <v>16.737433848016284</v>
      </c>
      <c r="F22" s="794">
        <f t="shared" si="1"/>
        <v>1172.2190714353171</v>
      </c>
      <c r="G22" s="794">
        <f t="shared" si="1"/>
        <v>0</v>
      </c>
      <c r="H22" s="794">
        <f t="shared" si="1"/>
        <v>257565.80659841522</v>
      </c>
      <c r="I22" s="794">
        <f t="shared" si="1"/>
        <v>41240.100564055945</v>
      </c>
      <c r="J22" s="794">
        <f t="shared" si="1"/>
        <v>0</v>
      </c>
      <c r="K22" s="794">
        <f t="shared" si="1"/>
        <v>0</v>
      </c>
      <c r="L22" s="794">
        <f t="shared" si="1"/>
        <v>0</v>
      </c>
      <c r="M22" s="794">
        <f t="shared" si="1"/>
        <v>0</v>
      </c>
      <c r="N22" s="794">
        <f t="shared" si="1"/>
        <v>13348.404653358422</v>
      </c>
      <c r="O22" s="794">
        <f t="shared" si="1"/>
        <v>0</v>
      </c>
      <c r="P22" s="794">
        <f t="shared" si="1"/>
        <v>0</v>
      </c>
      <c r="Q22" s="794">
        <f t="shared" si="1"/>
        <v>0</v>
      </c>
      <c r="R22" s="794">
        <f t="shared" si="1"/>
        <v>313376.87796078267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2114.6158514988015</v>
      </c>
      <c r="D24" s="676">
        <f>+landbouw!C8</f>
        <v>0</v>
      </c>
      <c r="E24" s="676">
        <f>+landbouw!D8</f>
        <v>1039.0910041530606</v>
      </c>
      <c r="F24" s="676">
        <f>+landbouw!E8</f>
        <v>19.921098160215919</v>
      </c>
      <c r="G24" s="676">
        <f>+landbouw!F8</f>
        <v>6900.6933028091471</v>
      </c>
      <c r="H24" s="676">
        <f>+landbouw!G8</f>
        <v>0</v>
      </c>
      <c r="I24" s="676">
        <f>+landbouw!H8</f>
        <v>0</v>
      </c>
      <c r="J24" s="676">
        <f>+landbouw!I8</f>
        <v>0</v>
      </c>
      <c r="K24" s="676">
        <f>+landbouw!J8</f>
        <v>261.58826631992764</v>
      </c>
      <c r="L24" s="676">
        <f>+landbouw!K8</f>
        <v>0</v>
      </c>
      <c r="M24" s="676">
        <f>+landbouw!L8</f>
        <v>0</v>
      </c>
      <c r="N24" s="676">
        <f>+landbouw!M8</f>
        <v>0</v>
      </c>
      <c r="O24" s="676">
        <f>+landbouw!N8</f>
        <v>0</v>
      </c>
      <c r="P24" s="676">
        <f>+landbouw!O8</f>
        <v>0</v>
      </c>
      <c r="Q24" s="677">
        <f>+landbouw!P8</f>
        <v>0</v>
      </c>
      <c r="R24" s="679">
        <f>SUM(C24:Q24)</f>
        <v>10335.909522941152</v>
      </c>
      <c r="S24" s="68"/>
    </row>
    <row r="25" spans="1:19" s="445" customFormat="1" ht="15" thickBot="1">
      <c r="A25" s="813" t="s">
        <v>879</v>
      </c>
      <c r="B25" s="979"/>
      <c r="C25" s="980">
        <f>IF(Onbekend_ele_kWh="---",0,Onbekend_ele_kWh)/1000+IF(REST_rest_ele_kWh="---",0,REST_rest_ele_kWh)/1000</f>
        <v>1956.5430814490601</v>
      </c>
      <c r="D25" s="980"/>
      <c r="E25" s="980">
        <f>IF(onbekend_gas_kWh="---",0,onbekend_gas_kWh)/1000+IF(REST_rest_gas_kWh="---",0,REST_rest_gas_kWh)/1000</f>
        <v>5779.5866860783499</v>
      </c>
      <c r="F25" s="980"/>
      <c r="G25" s="980"/>
      <c r="H25" s="980"/>
      <c r="I25" s="980"/>
      <c r="J25" s="980"/>
      <c r="K25" s="980"/>
      <c r="L25" s="980"/>
      <c r="M25" s="980"/>
      <c r="N25" s="980"/>
      <c r="O25" s="980"/>
      <c r="P25" s="980"/>
      <c r="Q25" s="981"/>
      <c r="R25" s="679">
        <f>SUM(C25:Q25)</f>
        <v>7736.12976752741</v>
      </c>
      <c r="S25" s="68"/>
    </row>
    <row r="26" spans="1:19" s="445" customFormat="1" ht="15.75" thickBot="1">
      <c r="A26" s="682" t="s">
        <v>880</v>
      </c>
      <c r="B26" s="799"/>
      <c r="C26" s="794">
        <f>SUM(C24:C25)</f>
        <v>4071.1589329478616</v>
      </c>
      <c r="D26" s="794">
        <f t="shared" ref="D26:R26" si="2">SUM(D24:D25)</f>
        <v>0</v>
      </c>
      <c r="E26" s="794">
        <f t="shared" si="2"/>
        <v>6818.6776902314105</v>
      </c>
      <c r="F26" s="794">
        <f t="shared" si="2"/>
        <v>19.921098160215919</v>
      </c>
      <c r="G26" s="794">
        <f t="shared" si="2"/>
        <v>6900.6933028091471</v>
      </c>
      <c r="H26" s="794">
        <f t="shared" si="2"/>
        <v>0</v>
      </c>
      <c r="I26" s="794">
        <f t="shared" si="2"/>
        <v>0</v>
      </c>
      <c r="J26" s="794">
        <f t="shared" si="2"/>
        <v>0</v>
      </c>
      <c r="K26" s="794">
        <f t="shared" si="2"/>
        <v>261.58826631992764</v>
      </c>
      <c r="L26" s="794">
        <f t="shared" si="2"/>
        <v>0</v>
      </c>
      <c r="M26" s="794">
        <f t="shared" si="2"/>
        <v>0</v>
      </c>
      <c r="N26" s="794">
        <f t="shared" si="2"/>
        <v>0</v>
      </c>
      <c r="O26" s="794">
        <f t="shared" si="2"/>
        <v>0</v>
      </c>
      <c r="P26" s="794">
        <f t="shared" si="2"/>
        <v>0</v>
      </c>
      <c r="Q26" s="794">
        <f t="shared" si="2"/>
        <v>0</v>
      </c>
      <c r="R26" s="794">
        <f t="shared" si="2"/>
        <v>18072.039290468561</v>
      </c>
      <c r="S26" s="68"/>
    </row>
    <row r="27" spans="1:19" s="445" customFormat="1" ht="17.25" thickTop="1" thickBot="1">
      <c r="A27" s="683" t="s">
        <v>115</v>
      </c>
      <c r="B27" s="786"/>
      <c r="C27" s="684">
        <f ca="1">C22+C16+C26</f>
        <v>140670.96001356348</v>
      </c>
      <c r="D27" s="684">
        <f t="shared" ref="D27:R27" ca="1" si="3">D22+D16+D26</f>
        <v>0</v>
      </c>
      <c r="E27" s="684">
        <f t="shared" ca="1" si="3"/>
        <v>158345.00715412622</v>
      </c>
      <c r="F27" s="684">
        <f t="shared" si="3"/>
        <v>5892.4012546486038</v>
      </c>
      <c r="G27" s="684">
        <f t="shared" ca="1" si="3"/>
        <v>144327.58101402744</v>
      </c>
      <c r="H27" s="684">
        <f t="shared" si="3"/>
        <v>257565.80659841522</v>
      </c>
      <c r="I27" s="684">
        <f t="shared" si="3"/>
        <v>41240.100564055945</v>
      </c>
      <c r="J27" s="684">
        <f t="shared" si="3"/>
        <v>0</v>
      </c>
      <c r="K27" s="684">
        <f t="shared" si="3"/>
        <v>2599.0913747928143</v>
      </c>
      <c r="L27" s="684">
        <f t="shared" si="3"/>
        <v>0</v>
      </c>
      <c r="M27" s="684">
        <f t="shared" ca="1" si="3"/>
        <v>0</v>
      </c>
      <c r="N27" s="684">
        <f t="shared" si="3"/>
        <v>13348.404653358422</v>
      </c>
      <c r="O27" s="684">
        <f t="shared" ca="1" si="3"/>
        <v>26020.331447377794</v>
      </c>
      <c r="P27" s="684">
        <f t="shared" si="3"/>
        <v>115.68666666666668</v>
      </c>
      <c r="Q27" s="684">
        <f t="shared" si="3"/>
        <v>991.4666666666667</v>
      </c>
      <c r="R27" s="684">
        <f t="shared" ca="1" si="3"/>
        <v>791116.8374076992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8612.1124522710234</v>
      </c>
      <c r="D40" s="676">
        <f ca="1">tertiair!C20</f>
        <v>0</v>
      </c>
      <c r="E40" s="676">
        <f ca="1">tertiair!D20</f>
        <v>9474.3703387468522</v>
      </c>
      <c r="F40" s="676">
        <f>tertiair!E20</f>
        <v>88.817154644265415</v>
      </c>
      <c r="G40" s="676">
        <f ca="1">tertiair!F20</f>
        <v>2386.225291997262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20561.525237659404</v>
      </c>
    </row>
    <row r="41" spans="1:18">
      <c r="A41" s="804" t="s">
        <v>220</v>
      </c>
      <c r="B41" s="811"/>
      <c r="C41" s="676">
        <f ca="1">huishoudens!B12</f>
        <v>11556.592474296318</v>
      </c>
      <c r="D41" s="676">
        <f ca="1">huishoudens!C12</f>
        <v>0</v>
      </c>
      <c r="E41" s="676">
        <f>huishoudens!D12</f>
        <v>16753.42782708065</v>
      </c>
      <c r="F41" s="676">
        <f>huishoudens!E12</f>
        <v>883.14516178366478</v>
      </c>
      <c r="G41" s="676">
        <f>huishoudens!F12</f>
        <v>31668.942867582224</v>
      </c>
      <c r="H41" s="676">
        <f>huishoudens!G12</f>
        <v>0</v>
      </c>
      <c r="I41" s="676">
        <f>huishoudens!H12</f>
        <v>0</v>
      </c>
      <c r="J41" s="676">
        <f>huishoudens!I12</f>
        <v>0</v>
      </c>
      <c r="K41" s="676">
        <f>huishoudens!J12</f>
        <v>761.85829374928562</v>
      </c>
      <c r="L41" s="676">
        <f>huishoudens!K12</f>
        <v>0</v>
      </c>
      <c r="M41" s="676">
        <f>huishoudens!L12</f>
        <v>0</v>
      </c>
      <c r="N41" s="676">
        <f>huishoudens!M12</f>
        <v>0</v>
      </c>
      <c r="O41" s="676">
        <f>huishoudens!N12</f>
        <v>0</v>
      </c>
      <c r="P41" s="676">
        <f>huishoudens!O12</f>
        <v>0</v>
      </c>
      <c r="Q41" s="751">
        <f>huishoudens!P12</f>
        <v>0</v>
      </c>
      <c r="R41" s="832">
        <f t="shared" ca="1" si="4"/>
        <v>61623.966624492139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8558.7340423998285</v>
      </c>
      <c r="D43" s="676">
        <f ca="1">industrie!C22</f>
        <v>0</v>
      </c>
      <c r="E43" s="676">
        <f>industrie!D22</f>
        <v>4377.1394242419447</v>
      </c>
      <c r="F43" s="676">
        <f>industrie!E22</f>
        <v>94.996949879116869</v>
      </c>
      <c r="G43" s="676">
        <f>industrie!F22</f>
        <v>2637.8108593158026</v>
      </c>
      <c r="H43" s="676">
        <f>industrie!G22</f>
        <v>0</v>
      </c>
      <c r="I43" s="676">
        <f>industrie!H22</f>
        <v>0</v>
      </c>
      <c r="J43" s="676">
        <f>industrie!I22</f>
        <v>0</v>
      </c>
      <c r="K43" s="676">
        <f>industrie!J22</f>
        <v>65.617806650116208</v>
      </c>
      <c r="L43" s="676">
        <f>industrie!K22</f>
        <v>0</v>
      </c>
      <c r="M43" s="676">
        <f>industrie!L22</f>
        <v>0</v>
      </c>
      <c r="N43" s="676">
        <f>industrie!M22</f>
        <v>0</v>
      </c>
      <c r="O43" s="676">
        <f>industrie!N22</f>
        <v>0</v>
      </c>
      <c r="P43" s="676">
        <f>industrie!O22</f>
        <v>0</v>
      </c>
      <c r="Q43" s="751">
        <f>industrie!P22</f>
        <v>0</v>
      </c>
      <c r="R43" s="831">
        <f t="shared" ca="1" si="4"/>
        <v>15734.299082486808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28727.43896896717</v>
      </c>
      <c r="D46" s="709">
        <f t="shared" ref="D46:Q46" ca="1" si="5">SUM(D39:D45)</f>
        <v>0</v>
      </c>
      <c r="E46" s="709">
        <f t="shared" ca="1" si="5"/>
        <v>30604.937590069447</v>
      </c>
      <c r="F46" s="709">
        <f t="shared" si="5"/>
        <v>1066.9592663070471</v>
      </c>
      <c r="G46" s="709">
        <f t="shared" ca="1" si="5"/>
        <v>36692.97901889529</v>
      </c>
      <c r="H46" s="709">
        <f t="shared" si="5"/>
        <v>0</v>
      </c>
      <c r="I46" s="709">
        <f t="shared" si="5"/>
        <v>0</v>
      </c>
      <c r="J46" s="709">
        <f t="shared" si="5"/>
        <v>0</v>
      </c>
      <c r="K46" s="709">
        <f t="shared" si="5"/>
        <v>827.47610039940184</v>
      </c>
      <c r="L46" s="709">
        <f t="shared" si="5"/>
        <v>0</v>
      </c>
      <c r="M46" s="709">
        <f t="shared" ca="1" si="5"/>
        <v>0</v>
      </c>
      <c r="N46" s="709">
        <f t="shared" si="5"/>
        <v>0</v>
      </c>
      <c r="O46" s="709">
        <f t="shared" ca="1" si="5"/>
        <v>0</v>
      </c>
      <c r="P46" s="709">
        <f t="shared" si="5"/>
        <v>0</v>
      </c>
      <c r="Q46" s="709">
        <f t="shared" si="5"/>
        <v>0</v>
      </c>
      <c r="R46" s="709">
        <f ca="1">SUM(R39:R45)</f>
        <v>97919.790944638342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4.1750627540432594</v>
      </c>
      <c r="D49" s="676">
        <f ca="1">transport!C58</f>
        <v>0</v>
      </c>
      <c r="E49" s="676">
        <f>transport!D58</f>
        <v>0</v>
      </c>
      <c r="F49" s="676">
        <f>transport!E58</f>
        <v>0</v>
      </c>
      <c r="G49" s="676">
        <f>transport!F58</f>
        <v>0</v>
      </c>
      <c r="H49" s="676">
        <f>transport!G58</f>
        <v>1056.9608223490761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1061.1358851031193</v>
      </c>
    </row>
    <row r="50" spans="1:18">
      <c r="A50" s="807" t="s">
        <v>302</v>
      </c>
      <c r="B50" s="817"/>
      <c r="C50" s="986">
        <f ca="1">transport!B18</f>
        <v>2.8949072157874585</v>
      </c>
      <c r="D50" s="986">
        <f>transport!C18</f>
        <v>0</v>
      </c>
      <c r="E50" s="986">
        <f>transport!D18</f>
        <v>3.3809616372992894</v>
      </c>
      <c r="F50" s="986">
        <f>transport!E18</f>
        <v>266.09372921581701</v>
      </c>
      <c r="G50" s="986">
        <f>transport!F18</f>
        <v>0</v>
      </c>
      <c r="H50" s="986">
        <f>transport!G18</f>
        <v>67713.109539427795</v>
      </c>
      <c r="I50" s="986">
        <f>transport!H18</f>
        <v>10268.78504044993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78254.264177946636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7.0699699698307175</v>
      </c>
      <c r="D52" s="709">
        <f t="shared" ref="D52:Q52" ca="1" si="6">SUM(D48:D51)</f>
        <v>0</v>
      </c>
      <c r="E52" s="709">
        <f t="shared" si="6"/>
        <v>3.3809616372992894</v>
      </c>
      <c r="F52" s="709">
        <f t="shared" si="6"/>
        <v>266.09372921581701</v>
      </c>
      <c r="G52" s="709">
        <f t="shared" si="6"/>
        <v>0</v>
      </c>
      <c r="H52" s="709">
        <f t="shared" si="6"/>
        <v>68770.070361776874</v>
      </c>
      <c r="I52" s="709">
        <f t="shared" si="6"/>
        <v>10268.78504044993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79315.400063049761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444.8209119385956</v>
      </c>
      <c r="D54" s="986">
        <f ca="1">+landbouw!C12</f>
        <v>0</v>
      </c>
      <c r="E54" s="986">
        <f>+landbouw!D12</f>
        <v>209.89638283891824</v>
      </c>
      <c r="F54" s="986">
        <f>+landbouw!E12</f>
        <v>4.5220892823690138</v>
      </c>
      <c r="G54" s="986">
        <f>+landbouw!F12</f>
        <v>1842.4851118500424</v>
      </c>
      <c r="H54" s="986">
        <f>+landbouw!G12</f>
        <v>0</v>
      </c>
      <c r="I54" s="986">
        <f>+landbouw!H12</f>
        <v>0</v>
      </c>
      <c r="J54" s="986">
        <f>+landbouw!I12</f>
        <v>0</v>
      </c>
      <c r="K54" s="986">
        <f>+landbouw!J12</f>
        <v>92.60224627725438</v>
      </c>
      <c r="L54" s="986">
        <f>+landbouw!K12</f>
        <v>0</v>
      </c>
      <c r="M54" s="986">
        <f>+landbouw!L12</f>
        <v>0</v>
      </c>
      <c r="N54" s="986">
        <f>+landbouw!M12</f>
        <v>0</v>
      </c>
      <c r="O54" s="986">
        <f>+landbouw!N12</f>
        <v>0</v>
      </c>
      <c r="P54" s="986">
        <f>+landbouw!O12</f>
        <v>0</v>
      </c>
      <c r="Q54" s="987">
        <f>+landbouw!P12</f>
        <v>0</v>
      </c>
      <c r="R54" s="708">
        <f ca="1">SUM(C54:Q54)</f>
        <v>2594.3267421871797</v>
      </c>
    </row>
    <row r="55" spans="1:18" ht="15" thickBot="1">
      <c r="A55" s="807" t="s">
        <v>879</v>
      </c>
      <c r="B55" s="817"/>
      <c r="C55" s="986">
        <f ca="1">C25*'EF ele_warmte'!B12</f>
        <v>411.56944752894947</v>
      </c>
      <c r="D55" s="986"/>
      <c r="E55" s="986">
        <f>E25*EF_CO2_aardgas</f>
        <v>1167.4765105878269</v>
      </c>
      <c r="F55" s="986"/>
      <c r="G55" s="986"/>
      <c r="H55" s="986"/>
      <c r="I55" s="986"/>
      <c r="J55" s="986"/>
      <c r="K55" s="986"/>
      <c r="L55" s="986"/>
      <c r="M55" s="986"/>
      <c r="N55" s="986"/>
      <c r="O55" s="986"/>
      <c r="P55" s="986"/>
      <c r="Q55" s="987"/>
      <c r="R55" s="708">
        <f ca="1">SUM(C55:Q55)</f>
        <v>1579.0459581167763</v>
      </c>
    </row>
    <row r="56" spans="1:18" ht="15.75" thickBot="1">
      <c r="A56" s="805" t="s">
        <v>880</v>
      </c>
      <c r="B56" s="818"/>
      <c r="C56" s="709">
        <f ca="1">SUM(C54:C55)</f>
        <v>856.39035946754507</v>
      </c>
      <c r="D56" s="709">
        <f t="shared" ref="D56:Q56" ca="1" si="7">SUM(D54:D55)</f>
        <v>0</v>
      </c>
      <c r="E56" s="709">
        <f t="shared" si="7"/>
        <v>1377.3728934267451</v>
      </c>
      <c r="F56" s="709">
        <f t="shared" si="7"/>
        <v>4.5220892823690138</v>
      </c>
      <c r="G56" s="709">
        <f t="shared" si="7"/>
        <v>1842.4851118500424</v>
      </c>
      <c r="H56" s="709">
        <f t="shared" si="7"/>
        <v>0</v>
      </c>
      <c r="I56" s="709">
        <f t="shared" si="7"/>
        <v>0</v>
      </c>
      <c r="J56" s="709">
        <f t="shared" si="7"/>
        <v>0</v>
      </c>
      <c r="K56" s="709">
        <f t="shared" si="7"/>
        <v>92.60224627725438</v>
      </c>
      <c r="L56" s="709">
        <f t="shared" si="7"/>
        <v>0</v>
      </c>
      <c r="M56" s="709">
        <f t="shared" si="7"/>
        <v>0</v>
      </c>
      <c r="N56" s="709">
        <f t="shared" si="7"/>
        <v>0</v>
      </c>
      <c r="O56" s="709">
        <f t="shared" si="7"/>
        <v>0</v>
      </c>
      <c r="P56" s="709">
        <f t="shared" si="7"/>
        <v>0</v>
      </c>
      <c r="Q56" s="710">
        <f t="shared" si="7"/>
        <v>0</v>
      </c>
      <c r="R56" s="711">
        <f ca="1">SUM(R54:R55)</f>
        <v>4173.3727003039558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29590.899298404547</v>
      </c>
      <c r="D61" s="717">
        <f t="shared" ref="D61:Q61" ca="1" si="8">D46+D52+D56</f>
        <v>0</v>
      </c>
      <c r="E61" s="717">
        <f t="shared" ca="1" si="8"/>
        <v>31985.691445133492</v>
      </c>
      <c r="F61" s="717">
        <f t="shared" si="8"/>
        <v>1337.575084805233</v>
      </c>
      <c r="G61" s="717">
        <f t="shared" ca="1" si="8"/>
        <v>38535.464130745335</v>
      </c>
      <c r="H61" s="717">
        <f t="shared" si="8"/>
        <v>68770.070361776874</v>
      </c>
      <c r="I61" s="717">
        <f t="shared" si="8"/>
        <v>10268.78504044993</v>
      </c>
      <c r="J61" s="717">
        <f t="shared" si="8"/>
        <v>0</v>
      </c>
      <c r="K61" s="717">
        <f t="shared" si="8"/>
        <v>920.07834667665622</v>
      </c>
      <c r="L61" s="717">
        <f t="shared" si="8"/>
        <v>0</v>
      </c>
      <c r="M61" s="717">
        <f t="shared" ca="1" si="8"/>
        <v>0</v>
      </c>
      <c r="N61" s="717">
        <f t="shared" si="8"/>
        <v>0</v>
      </c>
      <c r="O61" s="717">
        <f t="shared" ca="1" si="8"/>
        <v>0</v>
      </c>
      <c r="P61" s="717">
        <f t="shared" si="8"/>
        <v>0</v>
      </c>
      <c r="Q61" s="717">
        <f t="shared" si="8"/>
        <v>0</v>
      </c>
      <c r="R61" s="717">
        <f ca="1">R46+R52+R56</f>
        <v>181408.56370799209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0.21035542300664894</v>
      </c>
      <c r="D63" s="761">
        <f t="shared" ca="1" si="9"/>
        <v>0</v>
      </c>
      <c r="E63" s="988">
        <f t="shared" ca="1" si="9"/>
        <v>0.20199999999999999</v>
      </c>
      <c r="F63" s="761">
        <f t="shared" si="9"/>
        <v>0.22700000000000001</v>
      </c>
      <c r="G63" s="761">
        <f t="shared" ca="1" si="9"/>
        <v>0.26700000000000007</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6775.4880750813609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6775.4880750813609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54938.409997307434</v>
      </c>
      <c r="C4" s="449">
        <f>huishoudens!C8</f>
        <v>0</v>
      </c>
      <c r="D4" s="449">
        <f>huishoudens!D8</f>
        <v>82937.761520201238</v>
      </c>
      <c r="E4" s="449">
        <f>huishoudens!E8</f>
        <v>3890.5073206328843</v>
      </c>
      <c r="F4" s="449">
        <f>huishoudens!F8</f>
        <v>118610.27291229296</v>
      </c>
      <c r="G4" s="449">
        <f>huishoudens!G8</f>
        <v>0</v>
      </c>
      <c r="H4" s="449">
        <f>huishoudens!H8</f>
        <v>0</v>
      </c>
      <c r="I4" s="449">
        <f>huishoudens!I8</f>
        <v>0</v>
      </c>
      <c r="J4" s="449">
        <f>huishoudens!J8</f>
        <v>2152.1420727380951</v>
      </c>
      <c r="K4" s="449">
        <f>huishoudens!K8</f>
        <v>0</v>
      </c>
      <c r="L4" s="449">
        <f>huishoudens!L8</f>
        <v>0</v>
      </c>
      <c r="M4" s="449">
        <f>huishoudens!M8</f>
        <v>0</v>
      </c>
      <c r="N4" s="449">
        <f>huishoudens!N8</f>
        <v>19284.613677027133</v>
      </c>
      <c r="O4" s="449">
        <f>huishoudens!O8</f>
        <v>114.12333333333335</v>
      </c>
      <c r="P4" s="450">
        <f>huishoudens!P8</f>
        <v>915.2</v>
      </c>
      <c r="Q4" s="451">
        <f>SUM(B4:P4)</f>
        <v>282843.03083353309</v>
      </c>
    </row>
    <row r="5" spans="1:17">
      <c r="A5" s="448" t="s">
        <v>155</v>
      </c>
      <c r="B5" s="449">
        <f ca="1">tertiair!B16</f>
        <v>39076.42943625863</v>
      </c>
      <c r="C5" s="449">
        <f ca="1">tertiair!C16</f>
        <v>0</v>
      </c>
      <c r="D5" s="449">
        <f ca="1">tertiair!D16</f>
        <v>46902.823459142834</v>
      </c>
      <c r="E5" s="449">
        <f>tertiair!E16</f>
        <v>391.2649984328873</v>
      </c>
      <c r="F5" s="449">
        <f ca="1">tertiair!F16</f>
        <v>8937.173378266898</v>
      </c>
      <c r="G5" s="449">
        <f>tertiair!G16</f>
        <v>0</v>
      </c>
      <c r="H5" s="449">
        <f>tertiair!H16</f>
        <v>0</v>
      </c>
      <c r="I5" s="449">
        <f>tertiair!I16</f>
        <v>0</v>
      </c>
      <c r="J5" s="449">
        <f>tertiair!J16</f>
        <v>0</v>
      </c>
      <c r="K5" s="449">
        <f>tertiair!K16</f>
        <v>0</v>
      </c>
      <c r="L5" s="449">
        <f ca="1">tertiair!L16</f>
        <v>0</v>
      </c>
      <c r="M5" s="449">
        <f>tertiair!M16</f>
        <v>0</v>
      </c>
      <c r="N5" s="449">
        <f ca="1">tertiair!N16</f>
        <v>4661.0326717347707</v>
      </c>
      <c r="O5" s="449">
        <f>tertiair!O16</f>
        <v>1.5633333333333335</v>
      </c>
      <c r="P5" s="450">
        <f>tertiair!P16</f>
        <v>76.266666666666666</v>
      </c>
      <c r="Q5" s="448">
        <f t="shared" ref="Q5:Q14" ca="1" si="0">SUM(B5:P5)</f>
        <v>100046.55394383603</v>
      </c>
    </row>
    <row r="6" spans="1:17">
      <c r="A6" s="448" t="s">
        <v>193</v>
      </c>
      <c r="B6" s="449">
        <f>'openbare verlichting'!B8</f>
        <v>1864.338</v>
      </c>
      <c r="C6" s="449"/>
      <c r="D6" s="449"/>
      <c r="E6" s="449"/>
      <c r="F6" s="449"/>
      <c r="G6" s="449"/>
      <c r="H6" s="449"/>
      <c r="I6" s="449"/>
      <c r="J6" s="449"/>
      <c r="K6" s="449"/>
      <c r="L6" s="449"/>
      <c r="M6" s="449"/>
      <c r="N6" s="449"/>
      <c r="O6" s="449"/>
      <c r="P6" s="450"/>
      <c r="Q6" s="448">
        <f t="shared" si="0"/>
        <v>1864.338</v>
      </c>
    </row>
    <row r="7" spans="1:17">
      <c r="A7" s="448" t="s">
        <v>111</v>
      </c>
      <c r="B7" s="449">
        <f>landbouw!B8</f>
        <v>2114.6158514988015</v>
      </c>
      <c r="C7" s="449">
        <f>landbouw!C8</f>
        <v>0</v>
      </c>
      <c r="D7" s="449">
        <f>landbouw!D8</f>
        <v>1039.0910041530606</v>
      </c>
      <c r="E7" s="449">
        <f>landbouw!E8</f>
        <v>19.921098160215919</v>
      </c>
      <c r="F7" s="449">
        <f>landbouw!F8</f>
        <v>6900.6933028091471</v>
      </c>
      <c r="G7" s="449">
        <f>landbouw!G8</f>
        <v>0</v>
      </c>
      <c r="H7" s="449">
        <f>landbouw!H8</f>
        <v>0</v>
      </c>
      <c r="I7" s="449">
        <f>landbouw!I8</f>
        <v>0</v>
      </c>
      <c r="J7" s="449">
        <f>landbouw!J8</f>
        <v>261.58826631992764</v>
      </c>
      <c r="K7" s="449">
        <f>landbouw!K8</f>
        <v>0</v>
      </c>
      <c r="L7" s="449">
        <f>landbouw!L8</f>
        <v>0</v>
      </c>
      <c r="M7" s="449">
        <f>landbouw!M8</f>
        <v>0</v>
      </c>
      <c r="N7" s="449">
        <f>landbouw!N8</f>
        <v>0</v>
      </c>
      <c r="O7" s="449">
        <f>landbouw!O8</f>
        <v>0</v>
      </c>
      <c r="P7" s="450">
        <f>landbouw!P8</f>
        <v>0</v>
      </c>
      <c r="Q7" s="448">
        <f t="shared" si="0"/>
        <v>10335.909522941152</v>
      </c>
    </row>
    <row r="8" spans="1:17">
      <c r="A8" s="448" t="s">
        <v>671</v>
      </c>
      <c r="B8" s="449">
        <f>industrie!B18</f>
        <v>40687.014007379796</v>
      </c>
      <c r="C8" s="449">
        <f>industrie!C18</f>
        <v>0</v>
      </c>
      <c r="D8" s="449">
        <f>industrie!D18</f>
        <v>21669.007050702694</v>
      </c>
      <c r="E8" s="449">
        <f>industrie!E18</f>
        <v>418.48876598729896</v>
      </c>
      <c r="F8" s="449">
        <f>industrie!F18</f>
        <v>9879.441420658437</v>
      </c>
      <c r="G8" s="449">
        <f>industrie!G18</f>
        <v>0</v>
      </c>
      <c r="H8" s="449">
        <f>industrie!H18</f>
        <v>0</v>
      </c>
      <c r="I8" s="449">
        <f>industrie!I18</f>
        <v>0</v>
      </c>
      <c r="J8" s="449">
        <f>industrie!J18</f>
        <v>185.36103573479156</v>
      </c>
      <c r="K8" s="449">
        <f>industrie!K18</f>
        <v>0</v>
      </c>
      <c r="L8" s="449">
        <f>industrie!L18</f>
        <v>0</v>
      </c>
      <c r="M8" s="449">
        <f>industrie!M18</f>
        <v>0</v>
      </c>
      <c r="N8" s="449">
        <f>industrie!N18</f>
        <v>2074.6850986158906</v>
      </c>
      <c r="O8" s="449">
        <f>industrie!O18</f>
        <v>0</v>
      </c>
      <c r="P8" s="450">
        <f>industrie!P18</f>
        <v>0</v>
      </c>
      <c r="Q8" s="448">
        <f t="shared" si="0"/>
        <v>74913.997379078923</v>
      </c>
    </row>
    <row r="9" spans="1:17" s="454" customFormat="1">
      <c r="A9" s="452" t="s">
        <v>568</v>
      </c>
      <c r="B9" s="453">
        <f>transport!B14</f>
        <v>13.761980434875479</v>
      </c>
      <c r="C9" s="453">
        <f>transport!C14</f>
        <v>0</v>
      </c>
      <c r="D9" s="453">
        <f>transport!D14</f>
        <v>16.737433848016284</v>
      </c>
      <c r="E9" s="453">
        <f>transport!E14</f>
        <v>1172.2190714353171</v>
      </c>
      <c r="F9" s="453">
        <f>transport!F14</f>
        <v>0</v>
      </c>
      <c r="G9" s="453">
        <f>transport!G14</f>
        <v>253607.15183306288</v>
      </c>
      <c r="H9" s="453">
        <f>transport!H14</f>
        <v>41240.100564055945</v>
      </c>
      <c r="I9" s="453">
        <f>transport!I14</f>
        <v>0</v>
      </c>
      <c r="J9" s="453">
        <f>transport!J14</f>
        <v>0</v>
      </c>
      <c r="K9" s="453">
        <f>transport!K14</f>
        <v>0</v>
      </c>
      <c r="L9" s="453">
        <f>transport!L14</f>
        <v>0</v>
      </c>
      <c r="M9" s="453">
        <f>transport!M14</f>
        <v>13173.436328933845</v>
      </c>
      <c r="N9" s="453">
        <f>transport!N14</f>
        <v>0</v>
      </c>
      <c r="O9" s="453">
        <f>transport!O14</f>
        <v>0</v>
      </c>
      <c r="P9" s="453">
        <f>transport!P14</f>
        <v>0</v>
      </c>
      <c r="Q9" s="452">
        <f>SUM(B9:P9)</f>
        <v>309223.40721177089</v>
      </c>
    </row>
    <row r="10" spans="1:17">
      <c r="A10" s="448" t="s">
        <v>558</v>
      </c>
      <c r="B10" s="449">
        <f>transport!B54</f>
        <v>19.847659234871699</v>
      </c>
      <c r="C10" s="449">
        <f>transport!C54</f>
        <v>0</v>
      </c>
      <c r="D10" s="449">
        <f>transport!D54</f>
        <v>0</v>
      </c>
      <c r="E10" s="449">
        <f>transport!E54</f>
        <v>0</v>
      </c>
      <c r="F10" s="449">
        <f>transport!F54</f>
        <v>0</v>
      </c>
      <c r="G10" s="449">
        <f>transport!G54</f>
        <v>3958.6547653523448</v>
      </c>
      <c r="H10" s="449">
        <f>transport!H54</f>
        <v>0</v>
      </c>
      <c r="I10" s="449">
        <f>transport!I54</f>
        <v>0</v>
      </c>
      <c r="J10" s="449">
        <f>transport!J54</f>
        <v>0</v>
      </c>
      <c r="K10" s="449">
        <f>transport!K54</f>
        <v>0</v>
      </c>
      <c r="L10" s="449">
        <f>transport!L54</f>
        <v>0</v>
      </c>
      <c r="M10" s="449">
        <f>transport!M54</f>
        <v>174.96832442457787</v>
      </c>
      <c r="N10" s="449">
        <f>transport!N54</f>
        <v>0</v>
      </c>
      <c r="O10" s="449">
        <f>transport!O54</f>
        <v>0</v>
      </c>
      <c r="P10" s="450">
        <f>transport!P54</f>
        <v>0</v>
      </c>
      <c r="Q10" s="448">
        <f t="shared" si="0"/>
        <v>4153.4707490117944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1956.5430814490601</v>
      </c>
      <c r="C14" s="456"/>
      <c r="D14" s="456">
        <f>'SEAP template'!E25</f>
        <v>5779.5866860783499</v>
      </c>
      <c r="E14" s="456"/>
      <c r="F14" s="456"/>
      <c r="G14" s="456"/>
      <c r="H14" s="456"/>
      <c r="I14" s="456"/>
      <c r="J14" s="456"/>
      <c r="K14" s="456"/>
      <c r="L14" s="456"/>
      <c r="M14" s="456"/>
      <c r="N14" s="456"/>
      <c r="O14" s="456"/>
      <c r="P14" s="457"/>
      <c r="Q14" s="448">
        <f t="shared" si="0"/>
        <v>7736.12976752741</v>
      </c>
    </row>
    <row r="15" spans="1:17" s="461" customFormat="1">
      <c r="A15" s="458" t="s">
        <v>562</v>
      </c>
      <c r="B15" s="459">
        <f ca="1">SUM(B4:B14)</f>
        <v>140670.96001356345</v>
      </c>
      <c r="C15" s="459">
        <f t="shared" ref="C15:Q15" ca="1" si="1">SUM(C4:C14)</f>
        <v>0</v>
      </c>
      <c r="D15" s="459">
        <f t="shared" ca="1" si="1"/>
        <v>158345.00715412619</v>
      </c>
      <c r="E15" s="459">
        <f t="shared" si="1"/>
        <v>5892.4012546486038</v>
      </c>
      <c r="F15" s="459">
        <f t="shared" ca="1" si="1"/>
        <v>144327.58101402744</v>
      </c>
      <c r="G15" s="459">
        <f t="shared" si="1"/>
        <v>257565.80659841522</v>
      </c>
      <c r="H15" s="459">
        <f t="shared" si="1"/>
        <v>41240.100564055945</v>
      </c>
      <c r="I15" s="459">
        <f t="shared" si="1"/>
        <v>0</v>
      </c>
      <c r="J15" s="459">
        <f t="shared" si="1"/>
        <v>2599.0913747928143</v>
      </c>
      <c r="K15" s="459">
        <f t="shared" si="1"/>
        <v>0</v>
      </c>
      <c r="L15" s="459">
        <f t="shared" ca="1" si="1"/>
        <v>0</v>
      </c>
      <c r="M15" s="459">
        <f t="shared" si="1"/>
        <v>13348.404653358422</v>
      </c>
      <c r="N15" s="459">
        <f t="shared" ca="1" si="1"/>
        <v>26020.331447377794</v>
      </c>
      <c r="O15" s="459">
        <f t="shared" si="1"/>
        <v>115.68666666666668</v>
      </c>
      <c r="P15" s="459">
        <f t="shared" si="1"/>
        <v>991.4666666666667</v>
      </c>
      <c r="Q15" s="459">
        <f t="shared" ca="1" si="1"/>
        <v>791116.83740769932</v>
      </c>
    </row>
    <row r="17" spans="1:17">
      <c r="A17" s="462" t="s">
        <v>563</v>
      </c>
      <c r="B17" s="766">
        <f ca="1">huishoudens!B10</f>
        <v>0.21035542300664897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11556.592474296318</v>
      </c>
      <c r="C22" s="449">
        <f t="shared" ref="C22:C32" ca="1" si="3">C4*$C$17</f>
        <v>0</v>
      </c>
      <c r="D22" s="449">
        <f t="shared" ref="D22:D32" si="4">D4*$D$17</f>
        <v>16753.42782708065</v>
      </c>
      <c r="E22" s="449">
        <f t="shared" ref="E22:E32" si="5">E4*$E$17</f>
        <v>883.14516178366478</v>
      </c>
      <c r="F22" s="449">
        <f t="shared" ref="F22:F32" si="6">F4*$F$17</f>
        <v>31668.942867582224</v>
      </c>
      <c r="G22" s="449">
        <f t="shared" ref="G22:G32" si="7">G4*$G$17</f>
        <v>0</v>
      </c>
      <c r="H22" s="449">
        <f t="shared" ref="H22:H32" si="8">H4*$H$17</f>
        <v>0</v>
      </c>
      <c r="I22" s="449">
        <f t="shared" ref="I22:I32" si="9">I4*$I$17</f>
        <v>0</v>
      </c>
      <c r="J22" s="449">
        <f t="shared" ref="J22:J32" si="10">J4*$J$17</f>
        <v>761.85829374928562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61623.966624492139</v>
      </c>
    </row>
    <row r="23" spans="1:17">
      <c r="A23" s="448" t="s">
        <v>155</v>
      </c>
      <c r="B23" s="449">
        <f t="shared" ca="1" si="2"/>
        <v>8219.9388436536537</v>
      </c>
      <c r="C23" s="449">
        <f t="shared" ca="1" si="3"/>
        <v>0</v>
      </c>
      <c r="D23" s="449">
        <f t="shared" ca="1" si="4"/>
        <v>9474.3703387468522</v>
      </c>
      <c r="E23" s="449">
        <f t="shared" si="5"/>
        <v>88.817154644265415</v>
      </c>
      <c r="F23" s="449">
        <f t="shared" ca="1" si="6"/>
        <v>2386.225291997262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20169.351629042034</v>
      </c>
    </row>
    <row r="24" spans="1:17">
      <c r="A24" s="448" t="s">
        <v>193</v>
      </c>
      <c r="B24" s="449">
        <f t="shared" ca="1" si="2"/>
        <v>392.17360861736995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392.17360861736995</v>
      </c>
    </row>
    <row r="25" spans="1:17">
      <c r="A25" s="448" t="s">
        <v>111</v>
      </c>
      <c r="B25" s="449">
        <f t="shared" ca="1" si="2"/>
        <v>444.8209119385956</v>
      </c>
      <c r="C25" s="449">
        <f t="shared" ca="1" si="3"/>
        <v>0</v>
      </c>
      <c r="D25" s="449">
        <f t="shared" si="4"/>
        <v>209.89638283891824</v>
      </c>
      <c r="E25" s="449">
        <f t="shared" si="5"/>
        <v>4.5220892823690138</v>
      </c>
      <c r="F25" s="449">
        <f t="shared" si="6"/>
        <v>1842.4851118500424</v>
      </c>
      <c r="G25" s="449">
        <f t="shared" si="7"/>
        <v>0</v>
      </c>
      <c r="H25" s="449">
        <f t="shared" si="8"/>
        <v>0</v>
      </c>
      <c r="I25" s="449">
        <f t="shared" si="9"/>
        <v>0</v>
      </c>
      <c r="J25" s="449">
        <f t="shared" si="10"/>
        <v>92.60224627725438</v>
      </c>
      <c r="K25" s="449">
        <f t="shared" si="11"/>
        <v>0</v>
      </c>
      <c r="L25" s="449">
        <f t="shared" si="12"/>
        <v>0</v>
      </c>
      <c r="M25" s="449">
        <f t="shared" si="13"/>
        <v>0</v>
      </c>
      <c r="N25" s="449">
        <f t="shared" si="14"/>
        <v>0</v>
      </c>
      <c r="O25" s="449">
        <f t="shared" si="15"/>
        <v>0</v>
      </c>
      <c r="P25" s="450">
        <f t="shared" si="16"/>
        <v>0</v>
      </c>
      <c r="Q25" s="448">
        <f t="shared" ca="1" si="17"/>
        <v>2594.3267421871797</v>
      </c>
    </row>
    <row r="26" spans="1:17">
      <c r="A26" s="448" t="s">
        <v>671</v>
      </c>
      <c r="B26" s="449">
        <f t="shared" ca="1" si="2"/>
        <v>8558.7340423998285</v>
      </c>
      <c r="C26" s="449">
        <f t="shared" ca="1" si="3"/>
        <v>0</v>
      </c>
      <c r="D26" s="449">
        <f t="shared" si="4"/>
        <v>4377.1394242419447</v>
      </c>
      <c r="E26" s="449">
        <f t="shared" si="5"/>
        <v>94.996949879116869</v>
      </c>
      <c r="F26" s="449">
        <f t="shared" si="6"/>
        <v>2637.8108593158026</v>
      </c>
      <c r="G26" s="449">
        <f t="shared" si="7"/>
        <v>0</v>
      </c>
      <c r="H26" s="449">
        <f t="shared" si="8"/>
        <v>0</v>
      </c>
      <c r="I26" s="449">
        <f t="shared" si="9"/>
        <v>0</v>
      </c>
      <c r="J26" s="449">
        <f t="shared" si="10"/>
        <v>65.617806650116208</v>
      </c>
      <c r="K26" s="449">
        <f t="shared" si="11"/>
        <v>0</v>
      </c>
      <c r="L26" s="449">
        <f t="shared" si="12"/>
        <v>0</v>
      </c>
      <c r="M26" s="449">
        <f t="shared" si="13"/>
        <v>0</v>
      </c>
      <c r="N26" s="449">
        <f t="shared" si="14"/>
        <v>0</v>
      </c>
      <c r="O26" s="449">
        <f t="shared" si="15"/>
        <v>0</v>
      </c>
      <c r="P26" s="450">
        <f t="shared" si="16"/>
        <v>0</v>
      </c>
      <c r="Q26" s="448">
        <f t="shared" ca="1" si="17"/>
        <v>15734.299082486808</v>
      </c>
    </row>
    <row r="27" spans="1:17" s="454" customFormat="1">
      <c r="A27" s="452" t="s">
        <v>568</v>
      </c>
      <c r="B27" s="760">
        <f t="shared" ca="1" si="2"/>
        <v>2.8949072157874585</v>
      </c>
      <c r="C27" s="453">
        <f t="shared" ca="1" si="3"/>
        <v>0</v>
      </c>
      <c r="D27" s="453">
        <f t="shared" si="4"/>
        <v>3.3809616372992894</v>
      </c>
      <c r="E27" s="453">
        <f t="shared" si="5"/>
        <v>266.09372921581701</v>
      </c>
      <c r="F27" s="453">
        <f t="shared" si="6"/>
        <v>0</v>
      </c>
      <c r="G27" s="453">
        <f t="shared" si="7"/>
        <v>67713.109539427795</v>
      </c>
      <c r="H27" s="453">
        <f t="shared" si="8"/>
        <v>10268.78504044993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78254.264177946636</v>
      </c>
    </row>
    <row r="28" spans="1:17">
      <c r="A28" s="448" t="s">
        <v>558</v>
      </c>
      <c r="B28" s="449">
        <f t="shared" ca="1" si="2"/>
        <v>4.1750627540432594</v>
      </c>
      <c r="C28" s="449">
        <f t="shared" ca="1" si="3"/>
        <v>0</v>
      </c>
      <c r="D28" s="449">
        <f t="shared" si="4"/>
        <v>0</v>
      </c>
      <c r="E28" s="449">
        <f t="shared" si="5"/>
        <v>0</v>
      </c>
      <c r="F28" s="449">
        <f t="shared" si="6"/>
        <v>0</v>
      </c>
      <c r="G28" s="449">
        <f t="shared" si="7"/>
        <v>1056.9608223490761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1061.1358851031193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411.56944752894947</v>
      </c>
      <c r="C32" s="449">
        <f t="shared" ca="1" si="3"/>
        <v>0</v>
      </c>
      <c r="D32" s="449">
        <f t="shared" si="4"/>
        <v>1167.4765105878269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1579.0459581167763</v>
      </c>
    </row>
    <row r="33" spans="1:17" s="461" customFormat="1">
      <c r="A33" s="458" t="s">
        <v>562</v>
      </c>
      <c r="B33" s="459">
        <f ca="1">SUM(B22:B32)</f>
        <v>29590.899298404544</v>
      </c>
      <c r="C33" s="459">
        <f t="shared" ref="C33:Q33" ca="1" si="18">SUM(C22:C32)</f>
        <v>0</v>
      </c>
      <c r="D33" s="459">
        <f t="shared" ca="1" si="18"/>
        <v>31985.691445133489</v>
      </c>
      <c r="E33" s="459">
        <f t="shared" si="18"/>
        <v>1337.575084805233</v>
      </c>
      <c r="F33" s="459">
        <f t="shared" ca="1" si="18"/>
        <v>38535.464130745335</v>
      </c>
      <c r="G33" s="459">
        <f t="shared" si="18"/>
        <v>68770.070361776874</v>
      </c>
      <c r="H33" s="459">
        <f t="shared" si="18"/>
        <v>10268.78504044993</v>
      </c>
      <c r="I33" s="459">
        <f t="shared" si="18"/>
        <v>0</v>
      </c>
      <c r="J33" s="459">
        <f t="shared" si="18"/>
        <v>920.07834667665622</v>
      </c>
      <c r="K33" s="459">
        <f t="shared" si="18"/>
        <v>0</v>
      </c>
      <c r="L33" s="459">
        <f t="shared" ca="1" si="18"/>
        <v>0</v>
      </c>
      <c r="M33" s="459">
        <f t="shared" si="18"/>
        <v>0</v>
      </c>
      <c r="N33" s="459">
        <f t="shared" ca="1" si="18"/>
        <v>0</v>
      </c>
      <c r="O33" s="459">
        <f t="shared" si="18"/>
        <v>0</v>
      </c>
      <c r="P33" s="459">
        <f t="shared" si="18"/>
        <v>0</v>
      </c>
      <c r="Q33" s="459">
        <f t="shared" ca="1" si="18"/>
        <v>181408.56370799206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6775.4880750813609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6775.4880750813609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0.21035542300664897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0.21035542300664897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0.21035542300664897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0.21035542300664897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12734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1562</v>
      </c>
      <c r="C14" s="327"/>
      <c r="D14" s="327"/>
      <c r="E14" s="327"/>
      <c r="F14" s="327"/>
    </row>
    <row r="15" spans="1:6">
      <c r="A15" s="1295" t="s">
        <v>183</v>
      </c>
      <c r="B15" s="1296">
        <v>632</v>
      </c>
      <c r="C15" s="327"/>
      <c r="D15" s="327"/>
      <c r="E15" s="327"/>
      <c r="F15" s="327"/>
    </row>
    <row r="16" spans="1:6">
      <c r="A16" s="1295" t="s">
        <v>6</v>
      </c>
      <c r="B16" s="1296">
        <v>135</v>
      </c>
      <c r="C16" s="327"/>
      <c r="D16" s="327"/>
      <c r="E16" s="327"/>
      <c r="F16" s="327"/>
    </row>
    <row r="17" spans="1:6">
      <c r="A17" s="1295" t="s">
        <v>7</v>
      </c>
      <c r="B17" s="1296">
        <v>140</v>
      </c>
      <c r="C17" s="327"/>
      <c r="D17" s="327"/>
      <c r="E17" s="327"/>
      <c r="F17" s="327"/>
    </row>
    <row r="18" spans="1:6">
      <c r="A18" s="1295" t="s">
        <v>8</v>
      </c>
      <c r="B18" s="1296">
        <v>316</v>
      </c>
      <c r="C18" s="327"/>
      <c r="D18" s="327"/>
      <c r="E18" s="327"/>
      <c r="F18" s="327"/>
    </row>
    <row r="19" spans="1:6">
      <c r="A19" s="1295" t="s">
        <v>9</v>
      </c>
      <c r="B19" s="1296">
        <v>175</v>
      </c>
      <c r="C19" s="327"/>
      <c r="D19" s="327"/>
      <c r="E19" s="327"/>
      <c r="F19" s="327"/>
    </row>
    <row r="20" spans="1:6">
      <c r="A20" s="1295" t="s">
        <v>10</v>
      </c>
      <c r="B20" s="1296">
        <v>149</v>
      </c>
      <c r="C20" s="327"/>
      <c r="D20" s="327"/>
      <c r="E20" s="327"/>
      <c r="F20" s="327"/>
    </row>
    <row r="21" spans="1:6">
      <c r="A21" s="1295" t="s">
        <v>11</v>
      </c>
      <c r="B21" s="1296">
        <v>205</v>
      </c>
      <c r="C21" s="327"/>
      <c r="D21" s="327"/>
      <c r="E21" s="327"/>
      <c r="F21" s="327"/>
    </row>
    <row r="22" spans="1:6">
      <c r="A22" s="1295" t="s">
        <v>12</v>
      </c>
      <c r="B22" s="1296">
        <v>484</v>
      </c>
      <c r="C22" s="327"/>
      <c r="D22" s="327"/>
      <c r="E22" s="327"/>
      <c r="F22" s="327"/>
    </row>
    <row r="23" spans="1:6">
      <c r="A23" s="1295" t="s">
        <v>13</v>
      </c>
      <c r="B23" s="1296">
        <v>0</v>
      </c>
      <c r="C23" s="327"/>
      <c r="D23" s="327"/>
      <c r="E23" s="327"/>
      <c r="F23" s="327"/>
    </row>
    <row r="24" spans="1:6">
      <c r="A24" s="1295" t="s">
        <v>14</v>
      </c>
      <c r="B24" s="1296">
        <v>1</v>
      </c>
      <c r="C24" s="327"/>
      <c r="D24" s="327"/>
      <c r="E24" s="327"/>
      <c r="F24" s="327"/>
    </row>
    <row r="25" spans="1:6">
      <c r="A25" s="1295" t="s">
        <v>15</v>
      </c>
      <c r="B25" s="1296">
        <v>84</v>
      </c>
      <c r="C25" s="327"/>
      <c r="D25" s="327"/>
      <c r="E25" s="327"/>
      <c r="F25" s="327"/>
    </row>
    <row r="26" spans="1:6">
      <c r="A26" s="1295" t="s">
        <v>16</v>
      </c>
      <c r="B26" s="1296">
        <v>268</v>
      </c>
      <c r="C26" s="327"/>
      <c r="D26" s="327"/>
      <c r="E26" s="327"/>
      <c r="F26" s="327"/>
    </row>
    <row r="27" spans="1:6">
      <c r="A27" s="1295" t="s">
        <v>17</v>
      </c>
      <c r="B27" s="1296">
        <v>3</v>
      </c>
      <c r="C27" s="327"/>
      <c r="D27" s="327"/>
      <c r="E27" s="327"/>
      <c r="F27" s="327"/>
    </row>
    <row r="28" spans="1:6" s="44" customFormat="1">
      <c r="A28" s="1297" t="s">
        <v>18</v>
      </c>
      <c r="B28" s="1298">
        <v>11389</v>
      </c>
      <c r="C28" s="333"/>
      <c r="D28" s="333"/>
      <c r="E28" s="333"/>
      <c r="F28" s="333"/>
    </row>
    <row r="29" spans="1:6">
      <c r="A29" s="1297" t="s">
        <v>961</v>
      </c>
      <c r="B29" s="1298">
        <v>221</v>
      </c>
      <c r="C29" s="333"/>
      <c r="D29" s="333"/>
      <c r="E29" s="333"/>
      <c r="F29" s="333"/>
    </row>
    <row r="30" spans="1:6">
      <c r="A30" s="1290" t="s">
        <v>962</v>
      </c>
      <c r="B30" s="1299">
        <v>31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2793.8681470983001</v>
      </c>
      <c r="E38" s="1296">
        <v>2</v>
      </c>
      <c r="F38" s="1296">
        <v>2207</v>
      </c>
    </row>
    <row r="39" spans="1:6">
      <c r="A39" s="1295" t="s">
        <v>29</v>
      </c>
      <c r="B39" s="1295" t="s">
        <v>30</v>
      </c>
      <c r="C39" s="1296">
        <v>5480</v>
      </c>
      <c r="D39" s="1296">
        <v>91948737.827274099</v>
      </c>
      <c r="E39" s="1296">
        <v>12806</v>
      </c>
      <c r="F39" s="1296">
        <v>50771754.767892398</v>
      </c>
    </row>
    <row r="40" spans="1:6">
      <c r="A40" s="1295" t="s">
        <v>29</v>
      </c>
      <c r="B40" s="1295" t="s">
        <v>28</v>
      </c>
      <c r="C40" s="1296">
        <v>0</v>
      </c>
      <c r="D40" s="1296">
        <v>0</v>
      </c>
      <c r="E40" s="1296">
        <v>0</v>
      </c>
      <c r="F40" s="1296">
        <v>0</v>
      </c>
    </row>
    <row r="41" spans="1:6">
      <c r="A41" s="1295" t="s">
        <v>31</v>
      </c>
      <c r="B41" s="1295" t="s">
        <v>32</v>
      </c>
      <c r="C41" s="1296">
        <v>39</v>
      </c>
      <c r="D41" s="1296">
        <v>1418326.51275476</v>
      </c>
      <c r="E41" s="1296">
        <v>211</v>
      </c>
      <c r="F41" s="1296">
        <v>3307080.77256722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93402.466522857896</v>
      </c>
      <c r="E44" s="1296">
        <v>21</v>
      </c>
      <c r="F44" s="1296">
        <v>803940.23675982095</v>
      </c>
    </row>
    <row r="45" spans="1:6">
      <c r="A45" s="1295" t="s">
        <v>31</v>
      </c>
      <c r="B45" s="1295" t="s">
        <v>36</v>
      </c>
      <c r="C45" s="1296">
        <v>0</v>
      </c>
      <c r="D45" s="1296">
        <v>0</v>
      </c>
      <c r="E45" s="1296">
        <v>3</v>
      </c>
      <c r="F45" s="1296">
        <v>566959.77271817299</v>
      </c>
    </row>
    <row r="46" spans="1:6">
      <c r="A46" s="1295" t="s">
        <v>31</v>
      </c>
      <c r="B46" s="1295" t="s">
        <v>37</v>
      </c>
      <c r="C46" s="1296">
        <v>0</v>
      </c>
      <c r="D46" s="1296">
        <v>0</v>
      </c>
      <c r="E46" s="1296">
        <v>0</v>
      </c>
      <c r="F46" s="1296">
        <v>0</v>
      </c>
    </row>
    <row r="47" spans="1:6">
      <c r="A47" s="1295" t="s">
        <v>31</v>
      </c>
      <c r="B47" s="1295" t="s">
        <v>38</v>
      </c>
      <c r="C47" s="1296">
        <v>0</v>
      </c>
      <c r="D47" s="1296">
        <v>0</v>
      </c>
      <c r="E47" s="1296">
        <v>10</v>
      </c>
      <c r="F47" s="1296">
        <v>2143291.14635131</v>
      </c>
    </row>
    <row r="48" spans="1:6">
      <c r="A48" s="1295" t="s">
        <v>31</v>
      </c>
      <c r="B48" s="1295" t="s">
        <v>28</v>
      </c>
      <c r="C48" s="1296">
        <v>50</v>
      </c>
      <c r="D48" s="1296">
        <v>22223890.859025199</v>
      </c>
      <c r="E48" s="1296">
        <v>79</v>
      </c>
      <c r="F48" s="1296">
        <v>33431381.4839858</v>
      </c>
    </row>
    <row r="49" spans="1:6">
      <c r="A49" s="1295" t="s">
        <v>31</v>
      </c>
      <c r="B49" s="1295" t="s">
        <v>39</v>
      </c>
      <c r="C49" s="1296">
        <v>0</v>
      </c>
      <c r="D49" s="1296">
        <v>0</v>
      </c>
      <c r="E49" s="1296">
        <v>0</v>
      </c>
      <c r="F49" s="1296">
        <v>0</v>
      </c>
    </row>
    <row r="50" spans="1:6">
      <c r="A50" s="1295" t="s">
        <v>31</v>
      </c>
      <c r="B50" s="1295" t="s">
        <v>40</v>
      </c>
      <c r="C50" s="1296">
        <v>10</v>
      </c>
      <c r="D50" s="1296">
        <v>287669.57489307201</v>
      </c>
      <c r="E50" s="1296">
        <v>12</v>
      </c>
      <c r="F50" s="1296">
        <v>434360.59499746899</v>
      </c>
    </row>
    <row r="51" spans="1:6">
      <c r="A51" s="1295" t="s">
        <v>41</v>
      </c>
      <c r="B51" s="1295" t="s">
        <v>42</v>
      </c>
      <c r="C51" s="1296">
        <v>3</v>
      </c>
      <c r="D51" s="1296">
        <v>62844.441744208401</v>
      </c>
      <c r="E51" s="1296">
        <v>41</v>
      </c>
      <c r="F51" s="1296">
        <v>1909014.4320372201</v>
      </c>
    </row>
    <row r="52" spans="1:6">
      <c r="A52" s="1295" t="s">
        <v>41</v>
      </c>
      <c r="B52" s="1295" t="s">
        <v>28</v>
      </c>
      <c r="C52" s="1296">
        <v>3</v>
      </c>
      <c r="D52" s="1296">
        <v>1089141.15044322</v>
      </c>
      <c r="E52" s="1296">
        <v>17</v>
      </c>
      <c r="F52" s="1296">
        <v>205601.41946158101</v>
      </c>
    </row>
    <row r="53" spans="1:6">
      <c r="A53" s="1295" t="s">
        <v>43</v>
      </c>
      <c r="B53" s="1295" t="s">
        <v>44</v>
      </c>
      <c r="C53" s="1296">
        <v>146</v>
      </c>
      <c r="D53" s="1296">
        <v>5779586.6860783501</v>
      </c>
      <c r="E53" s="1296">
        <v>434</v>
      </c>
      <c r="F53" s="1296">
        <v>1956543.08144906</v>
      </c>
    </row>
    <row r="54" spans="1:6">
      <c r="A54" s="1295" t="s">
        <v>45</v>
      </c>
      <c r="B54" s="1295" t="s">
        <v>46</v>
      </c>
      <c r="C54" s="1296">
        <v>0</v>
      </c>
      <c r="D54" s="1296">
        <v>0</v>
      </c>
      <c r="E54" s="1296">
        <v>1</v>
      </c>
      <c r="F54" s="1296">
        <v>1864338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75</v>
      </c>
      <c r="D57" s="1296">
        <v>17021975.316406</v>
      </c>
      <c r="E57" s="1296">
        <v>257</v>
      </c>
      <c r="F57" s="1296">
        <v>7445720.7648174204</v>
      </c>
    </row>
    <row r="58" spans="1:6">
      <c r="A58" s="1295" t="s">
        <v>48</v>
      </c>
      <c r="B58" s="1295" t="s">
        <v>50</v>
      </c>
      <c r="C58" s="1296">
        <v>35</v>
      </c>
      <c r="D58" s="1296">
        <v>4532285.8412340702</v>
      </c>
      <c r="E58" s="1296">
        <v>65</v>
      </c>
      <c r="F58" s="1296">
        <v>2438039.8132575098</v>
      </c>
    </row>
    <row r="59" spans="1:6">
      <c r="A59" s="1295" t="s">
        <v>48</v>
      </c>
      <c r="B59" s="1295" t="s">
        <v>51</v>
      </c>
      <c r="C59" s="1296">
        <v>171</v>
      </c>
      <c r="D59" s="1296">
        <v>11347507.836125299</v>
      </c>
      <c r="E59" s="1296">
        <v>385</v>
      </c>
      <c r="F59" s="1296">
        <v>13909871.940827301</v>
      </c>
    </row>
    <row r="60" spans="1:6">
      <c r="A60" s="1295" t="s">
        <v>48</v>
      </c>
      <c r="B60" s="1295" t="s">
        <v>52</v>
      </c>
      <c r="C60" s="1296">
        <v>99</v>
      </c>
      <c r="D60" s="1296">
        <v>5172181.4551145099</v>
      </c>
      <c r="E60" s="1296">
        <v>180</v>
      </c>
      <c r="F60" s="1296">
        <v>4006613.8190894001</v>
      </c>
    </row>
    <row r="61" spans="1:6">
      <c r="A61" s="1295" t="s">
        <v>48</v>
      </c>
      <c r="B61" s="1295" t="s">
        <v>53</v>
      </c>
      <c r="C61" s="1296">
        <v>139</v>
      </c>
      <c r="D61" s="1296">
        <v>5682180.9453739803</v>
      </c>
      <c r="E61" s="1296">
        <v>406</v>
      </c>
      <c r="F61" s="1296">
        <v>5329286.2037186697</v>
      </c>
    </row>
    <row r="62" spans="1:6">
      <c r="A62" s="1295" t="s">
        <v>48</v>
      </c>
      <c r="B62" s="1295" t="s">
        <v>54</v>
      </c>
      <c r="C62" s="1296">
        <v>8</v>
      </c>
      <c r="D62" s="1296">
        <v>705656.844205364</v>
      </c>
      <c r="E62" s="1296">
        <v>27</v>
      </c>
      <c r="F62" s="1296">
        <v>1871246.8259594301</v>
      </c>
    </row>
    <row r="63" spans="1:6">
      <c r="A63" s="1295" t="s">
        <v>48</v>
      </c>
      <c r="B63" s="1295" t="s">
        <v>28</v>
      </c>
      <c r="C63" s="1296">
        <v>170</v>
      </c>
      <c r="D63" s="1296">
        <v>7536907.3925195197</v>
      </c>
      <c r="E63" s="1296">
        <v>228</v>
      </c>
      <c r="F63" s="1296">
        <v>4075650.0685888999</v>
      </c>
    </row>
    <row r="64" spans="1:6">
      <c r="A64" s="1295" t="s">
        <v>55</v>
      </c>
      <c r="B64" s="1295" t="s">
        <v>56</v>
      </c>
      <c r="C64" s="1296">
        <v>0</v>
      </c>
      <c r="D64" s="1296">
        <v>0</v>
      </c>
      <c r="E64" s="1296">
        <v>0</v>
      </c>
      <c r="F64" s="1296">
        <v>0</v>
      </c>
    </row>
    <row r="65" spans="1:6">
      <c r="A65" s="1295" t="s">
        <v>55</v>
      </c>
      <c r="B65" s="1295" t="s">
        <v>28</v>
      </c>
      <c r="C65" s="1296">
        <v>3</v>
      </c>
      <c r="D65" s="1296">
        <v>211433.66960791301</v>
      </c>
      <c r="E65" s="1296">
        <v>6</v>
      </c>
      <c r="F65" s="1296">
        <v>53053.577391013197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10</v>
      </c>
      <c r="F68" s="1299">
        <v>236018.47840422901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130784566</v>
      </c>
      <c r="E73" s="447"/>
      <c r="F73" s="327"/>
    </row>
    <row r="74" spans="1:6">
      <c r="A74" s="1295" t="s">
        <v>63</v>
      </c>
      <c r="B74" s="1295" t="s">
        <v>755</v>
      </c>
      <c r="C74" s="1309" t="s">
        <v>749</v>
      </c>
      <c r="D74" s="1310">
        <v>12145520.380942522</v>
      </c>
      <c r="E74" s="447"/>
      <c r="F74" s="327"/>
    </row>
    <row r="75" spans="1:6">
      <c r="A75" s="1295" t="s">
        <v>64</v>
      </c>
      <c r="B75" s="1295" t="s">
        <v>754</v>
      </c>
      <c r="C75" s="1309" t="s">
        <v>750</v>
      </c>
      <c r="D75" s="1310">
        <v>52368332</v>
      </c>
      <c r="E75" s="447"/>
      <c r="F75" s="327"/>
    </row>
    <row r="76" spans="1:6">
      <c r="A76" s="1295" t="s">
        <v>64</v>
      </c>
      <c r="B76" s="1295" t="s">
        <v>755</v>
      </c>
      <c r="C76" s="1309" t="s">
        <v>751</v>
      </c>
      <c r="D76" s="1310">
        <v>1299619.3809425207</v>
      </c>
      <c r="E76" s="447"/>
      <c r="F76" s="327"/>
    </row>
    <row r="77" spans="1:6">
      <c r="A77" s="1295" t="s">
        <v>65</v>
      </c>
      <c r="B77" s="1295" t="s">
        <v>754</v>
      </c>
      <c r="C77" s="1309" t="s">
        <v>752</v>
      </c>
      <c r="D77" s="1310">
        <v>150360871</v>
      </c>
      <c r="E77" s="447"/>
      <c r="F77" s="327"/>
    </row>
    <row r="78" spans="1:6">
      <c r="A78" s="1290" t="s">
        <v>65</v>
      </c>
      <c r="B78" s="1290" t="s">
        <v>755</v>
      </c>
      <c r="C78" s="1290" t="s">
        <v>753</v>
      </c>
      <c r="D78" s="1311">
        <v>16413630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1093467.2381149584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4166.6552294150351</v>
      </c>
      <c r="C91" s="327"/>
      <c r="D91" s="327"/>
      <c r="E91" s="327"/>
      <c r="F91" s="327"/>
    </row>
    <row r="92" spans="1:6">
      <c r="A92" s="1290" t="s">
        <v>68</v>
      </c>
      <c r="B92" s="1291">
        <v>2608.8328456663253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2902</v>
      </c>
      <c r="C97" s="327"/>
      <c r="D97" s="327"/>
      <c r="E97" s="327"/>
      <c r="F97" s="327"/>
    </row>
    <row r="98" spans="1:6">
      <c r="A98" s="1295" t="s">
        <v>71</v>
      </c>
      <c r="B98" s="1296">
        <v>5</v>
      </c>
      <c r="C98" s="327"/>
      <c r="D98" s="327"/>
      <c r="E98" s="327"/>
      <c r="F98" s="327"/>
    </row>
    <row r="99" spans="1:6">
      <c r="A99" s="1295" t="s">
        <v>72</v>
      </c>
      <c r="B99" s="1296">
        <v>234</v>
      </c>
      <c r="C99" s="327"/>
      <c r="D99" s="327"/>
      <c r="E99" s="327"/>
      <c r="F99" s="327"/>
    </row>
    <row r="100" spans="1:6">
      <c r="A100" s="1295" t="s">
        <v>73</v>
      </c>
      <c r="B100" s="1296">
        <v>851</v>
      </c>
      <c r="C100" s="327"/>
      <c r="D100" s="327"/>
      <c r="E100" s="327"/>
      <c r="F100" s="327"/>
    </row>
    <row r="101" spans="1:6">
      <c r="A101" s="1295" t="s">
        <v>74</v>
      </c>
      <c r="B101" s="1296">
        <v>108</v>
      </c>
      <c r="C101" s="327"/>
      <c r="D101" s="327"/>
      <c r="E101" s="327"/>
      <c r="F101" s="327"/>
    </row>
    <row r="102" spans="1:6">
      <c r="A102" s="1295" t="s">
        <v>75</v>
      </c>
      <c r="B102" s="1296">
        <v>153</v>
      </c>
      <c r="C102" s="327"/>
      <c r="D102" s="327"/>
      <c r="E102" s="327"/>
      <c r="F102" s="327"/>
    </row>
    <row r="103" spans="1:6">
      <c r="A103" s="1295" t="s">
        <v>76</v>
      </c>
      <c r="B103" s="1296">
        <v>296</v>
      </c>
      <c r="C103" s="327"/>
      <c r="D103" s="327"/>
      <c r="E103" s="327"/>
      <c r="F103" s="327"/>
    </row>
    <row r="104" spans="1:6">
      <c r="A104" s="1295" t="s">
        <v>77</v>
      </c>
      <c r="B104" s="1296">
        <v>6974</v>
      </c>
      <c r="C104" s="327"/>
      <c r="D104" s="327"/>
      <c r="E104" s="327"/>
      <c r="F104" s="327"/>
    </row>
    <row r="105" spans="1:6">
      <c r="A105" s="1290" t="s">
        <v>78</v>
      </c>
      <c r="B105" s="1299">
        <v>15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18</v>
      </c>
      <c r="C123" s="1296">
        <v>10</v>
      </c>
      <c r="D123" s="327"/>
      <c r="E123" s="327"/>
      <c r="F123" s="327"/>
    </row>
    <row r="124" spans="1:6" s="44" customFormat="1">
      <c r="A124" s="1297" t="s">
        <v>88</v>
      </c>
      <c r="B124" s="1318">
        <v>2</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63</v>
      </c>
      <c r="C129" s="327"/>
      <c r="D129" s="327"/>
      <c r="E129" s="327"/>
      <c r="F129" s="327"/>
    </row>
    <row r="130" spans="1:6">
      <c r="A130" s="1295" t="s">
        <v>290</v>
      </c>
      <c r="B130" s="1296">
        <v>1</v>
      </c>
      <c r="C130" s="327"/>
      <c r="D130" s="327"/>
      <c r="E130" s="327"/>
      <c r="F130" s="327"/>
    </row>
    <row r="131" spans="1:6">
      <c r="A131" s="1295" t="s">
        <v>291</v>
      </c>
      <c r="B131" s="1296">
        <v>4</v>
      </c>
      <c r="C131" s="327"/>
      <c r="D131" s="327"/>
      <c r="E131" s="327"/>
      <c r="F131" s="327"/>
    </row>
    <row r="132" spans="1:6">
      <c r="A132" s="1290" t="s">
        <v>292</v>
      </c>
      <c r="B132" s="1291">
        <v>28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140670.96001356348</v>
      </c>
      <c r="C3" s="44" t="s">
        <v>169</v>
      </c>
      <c r="D3" s="44"/>
      <c r="E3" s="157"/>
      <c r="F3" s="44"/>
      <c r="G3" s="44"/>
      <c r="H3" s="44"/>
      <c r="I3" s="44"/>
      <c r="J3" s="44"/>
      <c r="K3" s="97"/>
    </row>
    <row r="4" spans="1:11">
      <c r="A4" s="354" t="s">
        <v>170</v>
      </c>
      <c r="B4" s="50">
        <f>IF(ISERROR('SEAP template'!B78+'SEAP template'!C78),0,'SEAP template'!B78+'SEAP template'!C78)</f>
        <v>6775.4880750813609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0.21035542300664897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1864.338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1864.338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0.21035542300664897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392.17360861736995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50771.754767892395</v>
      </c>
      <c r="C5" s="18">
        <f>IF(ISERROR('Eigen informatie GS &amp; warmtenet'!B57),0,'Eigen informatie GS &amp; warmtenet'!B57)</f>
        <v>0</v>
      </c>
      <c r="D5" s="31">
        <f>(SUM(HH_hh_gas_kWh,HH_rest_gas_kWh)/1000)*0.902</f>
        <v>82937.761520201238</v>
      </c>
      <c r="E5" s="18">
        <f>B32*B41</f>
        <v>3890.5073206328843</v>
      </c>
      <c r="F5" s="18">
        <f>B36*B45</f>
        <v>118610.27291229296</v>
      </c>
      <c r="G5" s="19"/>
      <c r="H5" s="18"/>
      <c r="I5" s="18"/>
      <c r="J5" s="18">
        <f>B35*B44+C35*C44</f>
        <v>2152.1420727380951</v>
      </c>
      <c r="K5" s="18"/>
      <c r="L5" s="18"/>
      <c r="M5" s="18"/>
      <c r="N5" s="18">
        <f>B34*B43+C34*C43</f>
        <v>19284.613677027133</v>
      </c>
      <c r="O5" s="18">
        <f>B52*B53*B54</f>
        <v>114.12333333333335</v>
      </c>
      <c r="P5" s="18">
        <f>B60*B61*B62/1000-B60*B61*B62/1000/B63</f>
        <v>915.2</v>
      </c>
    </row>
    <row r="6" spans="1:16">
      <c r="A6" s="17" t="s">
        <v>628</v>
      </c>
      <c r="B6" s="768">
        <f>kWh_PV_kleiner_dan_10kW</f>
        <v>4166.6552294150351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54938.409997307434</v>
      </c>
      <c r="C8" s="22">
        <f>C5</f>
        <v>0</v>
      </c>
      <c r="D8" s="22">
        <f>D5</f>
        <v>82937.761520201238</v>
      </c>
      <c r="E8" s="22">
        <f>E5</f>
        <v>3890.5073206328843</v>
      </c>
      <c r="F8" s="22">
        <f>F5</f>
        <v>118610.27291229296</v>
      </c>
      <c r="G8" s="22"/>
      <c r="H8" s="22"/>
      <c r="I8" s="22"/>
      <c r="J8" s="22">
        <f>J5</f>
        <v>2152.1420727380951</v>
      </c>
      <c r="K8" s="22"/>
      <c r="L8" s="22">
        <f>L5</f>
        <v>0</v>
      </c>
      <c r="M8" s="22">
        <f>M5</f>
        <v>0</v>
      </c>
      <c r="N8" s="22">
        <f>N5</f>
        <v>19284.613677027133</v>
      </c>
      <c r="O8" s="22">
        <f>O5</f>
        <v>114.12333333333335</v>
      </c>
      <c r="P8" s="22">
        <f>P5</f>
        <v>915.2</v>
      </c>
    </row>
    <row r="9" spans="1:16">
      <c r="B9" s="20"/>
      <c r="C9" s="20"/>
      <c r="D9" s="258"/>
      <c r="E9" s="20"/>
      <c r="F9" s="20"/>
      <c r="G9" s="20"/>
      <c r="H9" s="20"/>
      <c r="I9" s="20"/>
      <c r="J9" s="20"/>
      <c r="K9" s="20"/>
      <c r="L9" s="20"/>
      <c r="M9" s="20"/>
      <c r="N9" s="20"/>
      <c r="O9" s="20"/>
      <c r="P9" s="20"/>
    </row>
    <row r="10" spans="1:16">
      <c r="A10" s="25" t="s">
        <v>213</v>
      </c>
      <c r="B10" s="26">
        <f ca="1">'EF ele_warmte'!B12</f>
        <v>0.21035542300664897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11556.592474296318</v>
      </c>
      <c r="C12" s="24">
        <f ca="1">C10*C8</f>
        <v>0</v>
      </c>
      <c r="D12" s="24">
        <f>D8*D10</f>
        <v>16753.42782708065</v>
      </c>
      <c r="E12" s="24">
        <f>E10*E8</f>
        <v>883.14516178366478</v>
      </c>
      <c r="F12" s="24">
        <f>F10*F8</f>
        <v>31668.942867582224</v>
      </c>
      <c r="G12" s="24"/>
      <c r="H12" s="24"/>
      <c r="I12" s="24"/>
      <c r="J12" s="24">
        <f>J10*J8</f>
        <v>761.85829374928562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12734</v>
      </c>
      <c r="C26" s="37"/>
      <c r="D26" s="228"/>
    </row>
    <row r="27" spans="1:5" s="16" customFormat="1">
      <c r="A27" s="230" t="s">
        <v>654</v>
      </c>
      <c r="B27" s="38">
        <f>SUM(HH_hh_gas_aantal,HH_rest_gas_aantal)</f>
        <v>5480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5206</v>
      </c>
      <c r="C31" s="35" t="s">
        <v>110</v>
      </c>
      <c r="D31" s="174"/>
    </row>
    <row r="32" spans="1:5">
      <c r="A32" s="171" t="s">
        <v>72</v>
      </c>
      <c r="B32" s="34">
        <f>IF((B21*($B$26-($B$27-0.05*$B$27)-$B$60))&lt;0,0,B21*($B$26-($B$27-0.05*$B$27)-$B$60))</f>
        <v>183.82347265139825</v>
      </c>
      <c r="C32" s="35" t="s">
        <v>110</v>
      </c>
      <c r="D32" s="174"/>
    </row>
    <row r="33" spans="1:6">
      <c r="A33" s="171" t="s">
        <v>73</v>
      </c>
      <c r="B33" s="34">
        <f>IF((B22*($B$26-($B$27-0.05*$B$27)-$B$60))&lt;0,0,B22*($B$26-($B$27-0.05*$B$27)-$B$60))</f>
        <v>1237.3475663747979</v>
      </c>
      <c r="C33" s="35" t="s">
        <v>110</v>
      </c>
      <c r="D33" s="174"/>
    </row>
    <row r="34" spans="1:6">
      <c r="A34" s="171" t="s">
        <v>74</v>
      </c>
      <c r="B34" s="34">
        <f>IF((B24*($B$26-($B$27-0.05*$B$27)-$B$60))&lt;0,0,B24*($B$26-($B$27-0.05*$B$27)-$B$60))</f>
        <v>313.81742375614527</v>
      </c>
      <c r="C34" s="34">
        <f>B26*C24</f>
        <v>2604.1326405379659</v>
      </c>
      <c r="D34" s="233"/>
    </row>
    <row r="35" spans="1:6">
      <c r="A35" s="171" t="s">
        <v>76</v>
      </c>
      <c r="B35" s="34">
        <f>IF((B19*($B$26-($B$27-0.05*$B$27)-$B$60))&lt;0,0,B19*($B$26-($B$27-0.05*$B$27)-$B$60))</f>
        <v>116.66738711795021</v>
      </c>
      <c r="C35" s="34">
        <f>B35/2</f>
        <v>58.333693558975106</v>
      </c>
      <c r="D35" s="233"/>
    </row>
    <row r="36" spans="1:6">
      <c r="A36" s="171" t="s">
        <v>77</v>
      </c>
      <c r="B36" s="34">
        <f>IF((B18*($B$26-($B$27-0.05*$B$27)-$B$60))&lt;0,0,B18*($B$26-($B$27-0.05*$B$27)-$B$60))</f>
        <v>5628.344150099706</v>
      </c>
      <c r="C36" s="35" t="s">
        <v>110</v>
      </c>
      <c r="D36" s="174"/>
    </row>
    <row r="37" spans="1:6">
      <c r="A37" s="171" t="s">
        <v>78</v>
      </c>
      <c r="B37" s="34">
        <f>B60</f>
        <v>48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39076.42943625863</v>
      </c>
      <c r="C5" s="18">
        <f>IF(ISERROR('Eigen informatie GS &amp; warmtenet'!B58),0,'Eigen informatie GS &amp; warmtenet'!B58)</f>
        <v>0</v>
      </c>
      <c r="D5" s="31">
        <f>SUM(D6:D12)</f>
        <v>46902.823459142834</v>
      </c>
      <c r="E5" s="18">
        <f>SUM(E6:E12)</f>
        <v>391.2649984328873</v>
      </c>
      <c r="F5" s="18">
        <f>SUM(F6:F12)</f>
        <v>8937.173378266898</v>
      </c>
      <c r="G5" s="19"/>
      <c r="H5" s="18"/>
      <c r="I5" s="18"/>
      <c r="J5" s="18">
        <f>SUM(J6:J12)</f>
        <v>0</v>
      </c>
      <c r="K5" s="18"/>
      <c r="L5" s="18"/>
      <c r="M5" s="18"/>
      <c r="N5" s="18">
        <f>SUM(N6:N12)</f>
        <v>4661.0326717347707</v>
      </c>
      <c r="O5" s="18">
        <f>B38*B39*B40</f>
        <v>1.5633333333333335</v>
      </c>
      <c r="P5" s="18">
        <f>B46*B47*B48/1000-B46*B47*B48/1000/B49</f>
        <v>76.266666666666666</v>
      </c>
      <c r="R5" s="33"/>
    </row>
    <row r="6" spans="1:18">
      <c r="A6" s="33" t="s">
        <v>53</v>
      </c>
      <c r="B6" s="38">
        <f>B26</f>
        <v>5329.2862037186696</v>
      </c>
      <c r="C6" s="34"/>
      <c r="D6" s="38">
        <f>IF(ISERROR(TER_kantoor_gas_kWh/1000),0,TER_kantoor_gas_kWh/1000)*0.902</f>
        <v>5125.3272127273303</v>
      </c>
      <c r="E6" s="34">
        <f>$C$26*'E Balans VL '!I12/100/3.6*1000000</f>
        <v>8.7464387779081321</v>
      </c>
      <c r="F6" s="34">
        <f>$C$26*('E Balans VL '!L12+'E Balans VL '!N12)/100/3.6*1000000</f>
        <v>628.19745212337477</v>
      </c>
      <c r="G6" s="35"/>
      <c r="H6" s="34"/>
      <c r="I6" s="34"/>
      <c r="J6" s="34">
        <f>$C$26*('E Balans VL '!D12+'E Balans VL '!E12)/100/3.6*1000000</f>
        <v>0</v>
      </c>
      <c r="K6" s="34"/>
      <c r="L6" s="34"/>
      <c r="M6" s="34"/>
      <c r="N6" s="34">
        <f>$C$26*'E Balans VL '!Y12/100/3.6*1000000</f>
        <v>1.0767570412251577</v>
      </c>
      <c r="O6" s="34"/>
      <c r="P6" s="34"/>
      <c r="R6" s="33"/>
    </row>
    <row r="7" spans="1:18">
      <c r="A7" s="33" t="s">
        <v>52</v>
      </c>
      <c r="B7" s="38">
        <f t="shared" ref="B7:B12" si="0">B27</f>
        <v>4006.6138190894003</v>
      </c>
      <c r="C7" s="34"/>
      <c r="D7" s="38">
        <f>IF(ISERROR(TER_horeca_gas_kWh/1000),0,TER_horeca_gas_kWh/1000)*0.902</f>
        <v>4665.3076725132878</v>
      </c>
      <c r="E7" s="34">
        <f>$C$27*'E Balans VL '!I9/100/3.6*1000000</f>
        <v>207.91426473272909</v>
      </c>
      <c r="F7" s="34">
        <f>$C$27*('E Balans VL '!L9+'E Balans VL '!N9)/100/3.6*1000000</f>
        <v>914.31218072959712</v>
      </c>
      <c r="G7" s="35"/>
      <c r="H7" s="34"/>
      <c r="I7" s="34"/>
      <c r="J7" s="34">
        <f>$C$27*('E Balans VL '!D9+'E Balans VL '!E9)/100/3.6*1000000</f>
        <v>0</v>
      </c>
      <c r="K7" s="34"/>
      <c r="L7" s="34"/>
      <c r="M7" s="34"/>
      <c r="N7" s="34">
        <f>$C$27*'E Balans VL '!Y9/100/3.6*1000000</f>
        <v>0.42309658318495341</v>
      </c>
      <c r="O7" s="34"/>
      <c r="P7" s="34"/>
      <c r="R7" s="33"/>
    </row>
    <row r="8" spans="1:18">
      <c r="A8" s="6" t="s">
        <v>51</v>
      </c>
      <c r="B8" s="38">
        <f t="shared" si="0"/>
        <v>13909.871940827301</v>
      </c>
      <c r="C8" s="34"/>
      <c r="D8" s="38">
        <f>IF(ISERROR(TER_handel_gas_kWh/1000),0,TER_handel_gas_kWh/1000)*0.902</f>
        <v>10235.452068185021</v>
      </c>
      <c r="E8" s="34">
        <f>$C$28*'E Balans VL '!I13/100/3.6*1000000</f>
        <v>74.906369697432723</v>
      </c>
      <c r="F8" s="34">
        <f>$C$28*('E Balans VL '!L13+'E Balans VL '!N13)/100/3.6*1000000</f>
        <v>2836.6362528983959</v>
      </c>
      <c r="G8" s="35"/>
      <c r="H8" s="34"/>
      <c r="I8" s="34"/>
      <c r="J8" s="34">
        <f>$C$28*('E Balans VL '!D13+'E Balans VL '!E13)/100/3.6*1000000</f>
        <v>0</v>
      </c>
      <c r="K8" s="34"/>
      <c r="L8" s="34"/>
      <c r="M8" s="34"/>
      <c r="N8" s="34">
        <f>$C$28*'E Balans VL '!Y13/100/3.6*1000000</f>
        <v>69.166447568817716</v>
      </c>
      <c r="O8" s="34"/>
      <c r="P8" s="34"/>
      <c r="R8" s="33"/>
    </row>
    <row r="9" spans="1:18">
      <c r="A9" s="33" t="s">
        <v>50</v>
      </c>
      <c r="B9" s="38">
        <f t="shared" si="0"/>
        <v>2438.0398132575096</v>
      </c>
      <c r="C9" s="34"/>
      <c r="D9" s="38">
        <f>IF(ISERROR(TER_gezond_gas_kWh/1000),0,TER_gezond_gas_kWh/1000)*0.902</f>
        <v>4088.1218287931315</v>
      </c>
      <c r="E9" s="34">
        <f>$C$29*'E Balans VL '!I10/100/3.6*1000000</f>
        <v>2.4161251802122043</v>
      </c>
      <c r="F9" s="34">
        <f>$C$29*('E Balans VL '!L10+'E Balans VL '!N10)/100/3.6*1000000</f>
        <v>845.92954139874792</v>
      </c>
      <c r="G9" s="35"/>
      <c r="H9" s="34"/>
      <c r="I9" s="34"/>
      <c r="J9" s="34">
        <f>$C$29*('E Balans VL '!D10+'E Balans VL '!E10)/100/3.6*1000000</f>
        <v>0</v>
      </c>
      <c r="K9" s="34"/>
      <c r="L9" s="34"/>
      <c r="M9" s="34"/>
      <c r="N9" s="34">
        <f>$C$29*'E Balans VL '!Y10/100/3.6*1000000</f>
        <v>21.00837786446353</v>
      </c>
      <c r="O9" s="34"/>
      <c r="P9" s="34"/>
      <c r="R9" s="33"/>
    </row>
    <row r="10" spans="1:18">
      <c r="A10" s="33" t="s">
        <v>49</v>
      </c>
      <c r="B10" s="38">
        <f t="shared" si="0"/>
        <v>7445.7207648174208</v>
      </c>
      <c r="C10" s="34"/>
      <c r="D10" s="38">
        <f>IF(ISERROR(TER_ander_gas_kWh/1000),0,TER_ander_gas_kWh/1000)*0.902</f>
        <v>15353.821735398215</v>
      </c>
      <c r="E10" s="34">
        <f>$C$30*'E Balans VL '!I14/100/3.6*1000000</f>
        <v>60.913437324145683</v>
      </c>
      <c r="F10" s="34">
        <f>$C$30*('E Balans VL '!L14+'E Balans VL '!N14)/100/3.6*1000000</f>
        <v>2176.825623785784</v>
      </c>
      <c r="G10" s="35"/>
      <c r="H10" s="34"/>
      <c r="I10" s="34"/>
      <c r="J10" s="34">
        <f>$C$30*('E Balans VL '!D14+'E Balans VL '!E14)/100/3.6*1000000</f>
        <v>0</v>
      </c>
      <c r="K10" s="34"/>
      <c r="L10" s="34"/>
      <c r="M10" s="34"/>
      <c r="N10" s="34">
        <f>$C$30*'E Balans VL '!Y14/100/3.6*1000000</f>
        <v>4295.2039201875368</v>
      </c>
      <c r="O10" s="34"/>
      <c r="P10" s="34"/>
      <c r="R10" s="33"/>
    </row>
    <row r="11" spans="1:18">
      <c r="A11" s="33" t="s">
        <v>54</v>
      </c>
      <c r="B11" s="38">
        <f t="shared" si="0"/>
        <v>1871.24682595943</v>
      </c>
      <c r="C11" s="34"/>
      <c r="D11" s="38">
        <f>IF(ISERROR(TER_onderwijs_gas_kWh/1000),0,TER_onderwijs_gas_kWh/1000)*0.902</f>
        <v>636.5024734732383</v>
      </c>
      <c r="E11" s="34">
        <f>$C$31*'E Balans VL '!I11/100/3.6*1000000</f>
        <v>1.1533575877789357</v>
      </c>
      <c r="F11" s="34">
        <f>$C$31*('E Balans VL '!L11+'E Balans VL '!N11)/100/3.6*1000000</f>
        <v>723.45432713946843</v>
      </c>
      <c r="G11" s="35"/>
      <c r="H11" s="34"/>
      <c r="I11" s="34"/>
      <c r="J11" s="34">
        <f>$C$31*('E Balans VL '!D11+'E Balans VL '!E11)/100/3.6*1000000</f>
        <v>0</v>
      </c>
      <c r="K11" s="34"/>
      <c r="L11" s="34"/>
      <c r="M11" s="34"/>
      <c r="N11" s="34">
        <f>$C$31*'E Balans VL '!Y11/100/3.6*1000000</f>
        <v>6.0867649252131439</v>
      </c>
      <c r="O11" s="34"/>
      <c r="P11" s="34"/>
      <c r="R11" s="33"/>
    </row>
    <row r="12" spans="1:18">
      <c r="A12" s="33" t="s">
        <v>255</v>
      </c>
      <c r="B12" s="38">
        <f t="shared" si="0"/>
        <v>4075.6500685889</v>
      </c>
      <c r="C12" s="34"/>
      <c r="D12" s="38">
        <f>IF(ISERROR(TER_rest_gas_kWh/1000),0,TER_rest_gas_kWh/1000)*0.902</f>
        <v>6798.2904680526071</v>
      </c>
      <c r="E12" s="34">
        <f>$C$32*'E Balans VL '!I8/100/3.6*1000000</f>
        <v>35.215005132680545</v>
      </c>
      <c r="F12" s="34">
        <f>$C$32*('E Balans VL '!L8+'E Balans VL '!N8)/100/3.6*1000000</f>
        <v>811.81800019152979</v>
      </c>
      <c r="G12" s="35"/>
      <c r="H12" s="34"/>
      <c r="I12" s="34"/>
      <c r="J12" s="34">
        <f>$C$32*('E Balans VL '!D8+'E Balans VL '!E8)/100/3.6*1000000</f>
        <v>0</v>
      </c>
      <c r="K12" s="34"/>
      <c r="L12" s="34"/>
      <c r="M12" s="34"/>
      <c r="N12" s="34">
        <f>$C$32*'E Balans VL '!Y8/100/3.6*1000000</f>
        <v>268.06730756432881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39076.42943625863</v>
      </c>
      <c r="C16" s="22">
        <f t="shared" ca="1" si="1"/>
        <v>0</v>
      </c>
      <c r="D16" s="22">
        <f t="shared" ca="1" si="1"/>
        <v>46902.823459142834</v>
      </c>
      <c r="E16" s="22">
        <f t="shared" si="1"/>
        <v>391.2649984328873</v>
      </c>
      <c r="F16" s="22">
        <f t="shared" ca="1" si="1"/>
        <v>8937.173378266898</v>
      </c>
      <c r="G16" s="22">
        <f t="shared" si="1"/>
        <v>0</v>
      </c>
      <c r="H16" s="22">
        <f t="shared" si="1"/>
        <v>0</v>
      </c>
      <c r="I16" s="22">
        <f t="shared" si="1"/>
        <v>0</v>
      </c>
      <c r="J16" s="22">
        <f t="shared" si="1"/>
        <v>0</v>
      </c>
      <c r="K16" s="22">
        <f t="shared" si="1"/>
        <v>0</v>
      </c>
      <c r="L16" s="22">
        <f t="shared" ca="1" si="1"/>
        <v>0</v>
      </c>
      <c r="M16" s="22">
        <f t="shared" si="1"/>
        <v>0</v>
      </c>
      <c r="N16" s="22">
        <f t="shared" ca="1" si="1"/>
        <v>4661.0326717347707</v>
      </c>
      <c r="O16" s="22">
        <f>O5</f>
        <v>1.5633333333333335</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0.21035542300664897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8219.9388436536537</v>
      </c>
      <c r="C20" s="24">
        <f t="shared" ref="C20:P20" ca="1" si="2">C16*C18</f>
        <v>0</v>
      </c>
      <c r="D20" s="24">
        <f t="shared" ca="1" si="2"/>
        <v>9474.3703387468522</v>
      </c>
      <c r="E20" s="24">
        <f t="shared" si="2"/>
        <v>88.817154644265415</v>
      </c>
      <c r="F20" s="24">
        <f t="shared" ca="1" si="2"/>
        <v>2386.225291997262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5329.2862037186696</v>
      </c>
      <c r="C26" s="40">
        <f>IF(ISERROR(B26*3.6/1000000/'E Balans VL '!Z12*100),0,B26*3.6/1000000/'E Balans VL '!Z12*100)</f>
        <v>0.1132435100324443</v>
      </c>
      <c r="D26" s="236" t="s">
        <v>691</v>
      </c>
      <c r="F26" s="6"/>
    </row>
    <row r="27" spans="1:18">
      <c r="A27" s="231" t="s">
        <v>52</v>
      </c>
      <c r="B27" s="34">
        <f>IF(ISERROR(TER_horeca_ele_kWh/1000),0,TER_horeca_ele_kWh/1000)</f>
        <v>4006.6138190894003</v>
      </c>
      <c r="C27" s="40">
        <f>IF(ISERROR(B27*3.6/1000000/'E Balans VL '!Z9*100),0,B27*3.6/1000000/'E Balans VL '!Z9*100)</f>
        <v>0.31535149057263612</v>
      </c>
      <c r="D27" s="236" t="s">
        <v>691</v>
      </c>
      <c r="F27" s="6"/>
    </row>
    <row r="28" spans="1:18">
      <c r="A28" s="171" t="s">
        <v>51</v>
      </c>
      <c r="B28" s="34">
        <f>IF(ISERROR(TER_handel_ele_kWh/1000),0,TER_handel_ele_kWh/1000)</f>
        <v>13909.871940827301</v>
      </c>
      <c r="C28" s="40">
        <f>IF(ISERROR(B28*3.6/1000000/'E Balans VL '!Z13*100),0,B28*3.6/1000000/'E Balans VL '!Z13*100)</f>
        <v>0.38962295733213781</v>
      </c>
      <c r="D28" s="236" t="s">
        <v>691</v>
      </c>
      <c r="F28" s="6"/>
    </row>
    <row r="29" spans="1:18">
      <c r="A29" s="231" t="s">
        <v>50</v>
      </c>
      <c r="B29" s="34">
        <f>IF(ISERROR(TER_gezond_ele_kWh/1000),0,TER_gezond_ele_kWh/1000)</f>
        <v>2438.0398132575096</v>
      </c>
      <c r="C29" s="40">
        <f>IF(ISERROR(B29*3.6/1000000/'E Balans VL '!Z10*100),0,B29*3.6/1000000/'E Balans VL '!Z10*100)</f>
        <v>0.31189901547042514</v>
      </c>
      <c r="D29" s="236" t="s">
        <v>691</v>
      </c>
      <c r="F29" s="6"/>
    </row>
    <row r="30" spans="1:18">
      <c r="A30" s="231" t="s">
        <v>49</v>
      </c>
      <c r="B30" s="34">
        <f>IF(ISERROR(TER_ander_ele_kWh/1000),0,TER_ander_ele_kWh/1000)</f>
        <v>7445.7207648174208</v>
      </c>
      <c r="C30" s="40">
        <f>IF(ISERROR(B30*3.6/1000000/'E Balans VL '!Z14*100),0,B30*3.6/1000000/'E Balans VL '!Z14*100)</f>
        <v>0.55687717446920193</v>
      </c>
      <c r="D30" s="236" t="s">
        <v>691</v>
      </c>
      <c r="F30" s="6"/>
    </row>
    <row r="31" spans="1:18">
      <c r="A31" s="231" t="s">
        <v>54</v>
      </c>
      <c r="B31" s="34">
        <f>IF(ISERROR(TER_onderwijs_ele_kWh/1000),0,TER_onderwijs_ele_kWh/1000)</f>
        <v>1871.24682595943</v>
      </c>
      <c r="C31" s="40">
        <f>IF(ISERROR(B31*3.6/1000000/'E Balans VL '!Z11*100),0,B31*3.6/1000000/'E Balans VL '!Z11*100)</f>
        <v>0.39511619118553348</v>
      </c>
      <c r="D31" s="236" t="s">
        <v>691</v>
      </c>
    </row>
    <row r="32" spans="1:18">
      <c r="A32" s="231" t="s">
        <v>255</v>
      </c>
      <c r="B32" s="34">
        <f>IF(ISERROR(TER_rest_ele_kWh/1000),0,TER_rest_ele_kWh/1000)</f>
        <v>4075.6500685889</v>
      </c>
      <c r="C32" s="40">
        <f>IF(ISERROR(B32*3.6/1000000/'E Balans VL '!Z8*100),0,B32*3.6/1000000/'E Balans VL '!Z8*100)</f>
        <v>3.3574928387539872E-2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4</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40687.014007379796</v>
      </c>
      <c r="C5" s="18">
        <f>IF(ISERROR('Eigen informatie GS &amp; warmtenet'!B59),0,'Eigen informatie GS &amp; warmtenet'!B59)</f>
        <v>0</v>
      </c>
      <c r="D5" s="31">
        <f>SUM(D6:D15)</f>
        <v>21669.007050702694</v>
      </c>
      <c r="E5" s="18">
        <f>SUM(E6:E15)</f>
        <v>418.48876598729896</v>
      </c>
      <c r="F5" s="18">
        <f>SUM(F6:F15)</f>
        <v>9879.441420658437</v>
      </c>
      <c r="G5" s="19"/>
      <c r="H5" s="18"/>
      <c r="I5" s="18"/>
      <c r="J5" s="18">
        <f>SUM(J6:J15)</f>
        <v>185.36103573479156</v>
      </c>
      <c r="K5" s="18"/>
      <c r="L5" s="18"/>
      <c r="M5" s="18"/>
      <c r="N5" s="18">
        <f>SUM(N6:N15)</f>
        <v>2074.6850986158906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803.940236759821</v>
      </c>
      <c r="C8" s="34"/>
      <c r="D8" s="38">
        <f>IF( ISERROR(IND_metaal_Gas_kWH/1000),0,IND_metaal_Gas_kWH/1000)*0.902</f>
        <v>84.249024803617814</v>
      </c>
      <c r="E8" s="34">
        <f>C30*'E Balans VL '!I18/100/3.6*1000000</f>
        <v>7.3213388562087998</v>
      </c>
      <c r="F8" s="34">
        <f>C30*'E Balans VL '!L18/100/3.6*1000000+C30*'E Balans VL '!N18/100/3.6*1000000</f>
        <v>106.03361200160188</v>
      </c>
      <c r="G8" s="35"/>
      <c r="H8" s="34"/>
      <c r="I8" s="34"/>
      <c r="J8" s="41">
        <f>C30*'E Balans VL '!D18/100/3.6*1000000+C30*'E Balans VL '!E18/100/3.6*1000000</f>
        <v>13.183452603669755</v>
      </c>
      <c r="K8" s="34"/>
      <c r="L8" s="34"/>
      <c r="M8" s="34"/>
      <c r="N8" s="34">
        <f>C30*'E Balans VL '!Y18/100/3.6*1000000</f>
        <v>2.7628232293036832</v>
      </c>
      <c r="O8" s="34"/>
      <c r="P8" s="34"/>
      <c r="R8" s="33"/>
    </row>
    <row r="9" spans="1:18">
      <c r="A9" s="6" t="s">
        <v>32</v>
      </c>
      <c r="B9" s="38">
        <f t="shared" si="0"/>
        <v>3307.0807725672198</v>
      </c>
      <c r="C9" s="34"/>
      <c r="D9" s="38">
        <f>IF( ISERROR(IND_andere_gas_kWh/1000),0,IND_andere_gas_kWh/1000)*0.902</f>
        <v>1279.3305145047934</v>
      </c>
      <c r="E9" s="34">
        <f>C31*'E Balans VL '!I19/100/3.6*1000000</f>
        <v>19.115421067783039</v>
      </c>
      <c r="F9" s="34">
        <f>C31*'E Balans VL '!L19/100/3.6*1000000+C31*'E Balans VL '!N19/100/3.6*1000000</f>
        <v>2630.941885006976</v>
      </c>
      <c r="G9" s="35"/>
      <c r="H9" s="34"/>
      <c r="I9" s="34"/>
      <c r="J9" s="41">
        <f>C31*'E Balans VL '!D19/100/3.6*1000000+C31*'E Balans VL '!E19/100/3.6*1000000</f>
        <v>0.31281310707208404</v>
      </c>
      <c r="K9" s="34"/>
      <c r="L9" s="34"/>
      <c r="M9" s="34"/>
      <c r="N9" s="34">
        <f>C31*'E Balans VL '!Y19/100/3.6*1000000</f>
        <v>250.56141559140028</v>
      </c>
      <c r="O9" s="34"/>
      <c r="P9" s="34"/>
      <c r="R9" s="33"/>
    </row>
    <row r="10" spans="1:18">
      <c r="A10" s="6" t="s">
        <v>40</v>
      </c>
      <c r="B10" s="38">
        <f t="shared" si="0"/>
        <v>434.36059499746898</v>
      </c>
      <c r="C10" s="34"/>
      <c r="D10" s="38">
        <f>IF( ISERROR(IND_voed_gas_kWh/1000),0,IND_voed_gas_kWh/1000)*0.902</f>
        <v>259.477956553551</v>
      </c>
      <c r="E10" s="34">
        <f>C32*'E Balans VL '!I20/100/3.6*1000000</f>
        <v>4.2709010018667808</v>
      </c>
      <c r="F10" s="34">
        <f>C32*'E Balans VL '!L20/100/3.6*1000000+C32*'E Balans VL '!N20/100/3.6*1000000</f>
        <v>48.241413628853138</v>
      </c>
      <c r="G10" s="35"/>
      <c r="H10" s="34"/>
      <c r="I10" s="34"/>
      <c r="J10" s="41">
        <f>C32*'E Balans VL '!D20/100/3.6*1000000+C32*'E Balans VL '!E20/100/3.6*1000000</f>
        <v>1.7120122927299067E-3</v>
      </c>
      <c r="K10" s="34"/>
      <c r="L10" s="34"/>
      <c r="M10" s="34"/>
      <c r="N10" s="34">
        <f>C32*'E Balans VL '!Y20/100/3.6*1000000</f>
        <v>6.4318586880954944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566.95977271817299</v>
      </c>
      <c r="C12" s="34"/>
      <c r="D12" s="38">
        <f>IF( ISERROR(IND_min_gas_kWh/1000),0,IND_min_gas_kWh/1000)*0.902</f>
        <v>0</v>
      </c>
      <c r="E12" s="34">
        <f>C34*'E Balans VL '!I22/100/3.6*1000000</f>
        <v>14.373439140530589</v>
      </c>
      <c r="F12" s="34">
        <f>C34*'E Balans VL '!L22/100/3.6*1000000+C34*'E Balans VL '!N22/100/3.6*1000000</f>
        <v>156.87974530058955</v>
      </c>
      <c r="G12" s="35"/>
      <c r="H12" s="34"/>
      <c r="I12" s="34"/>
      <c r="J12" s="41">
        <f>C34*'E Balans VL '!D22/100/3.6*1000000+C34*'E Balans VL '!E22/100/3.6*1000000</f>
        <v>3.7443162701231856</v>
      </c>
      <c r="K12" s="34"/>
      <c r="L12" s="34"/>
      <c r="M12" s="34"/>
      <c r="N12" s="34">
        <f>C34*'E Balans VL '!Y22/100/3.6*1000000</f>
        <v>0</v>
      </c>
      <c r="O12" s="34"/>
      <c r="P12" s="34"/>
      <c r="R12" s="33"/>
    </row>
    <row r="13" spans="1:18">
      <c r="A13" s="6" t="s">
        <v>38</v>
      </c>
      <c r="B13" s="38">
        <f t="shared" si="0"/>
        <v>2143.2911463513101</v>
      </c>
      <c r="C13" s="34"/>
      <c r="D13" s="38">
        <f>IF( ISERROR(IND_papier_gas_kWh/1000),0,IND_papier_gas_kWh/1000)*0.902</f>
        <v>0</v>
      </c>
      <c r="E13" s="34">
        <f>C35*'E Balans VL '!I23/100/3.6*1000000</f>
        <v>73.003604015975554</v>
      </c>
      <c r="F13" s="34">
        <f>C35*'E Balans VL '!L23/100/3.6*1000000+C35*'E Balans VL '!N23/100/3.6*1000000</f>
        <v>354.02139541680981</v>
      </c>
      <c r="G13" s="35"/>
      <c r="H13" s="34"/>
      <c r="I13" s="34"/>
      <c r="J13" s="41">
        <f>C35*'E Balans VL '!D23/100/3.6*1000000+C35*'E Balans VL '!E23/100/3.6*1000000</f>
        <v>0</v>
      </c>
      <c r="K13" s="34"/>
      <c r="L13" s="34"/>
      <c r="M13" s="34"/>
      <c r="N13" s="34">
        <f>C35*'E Balans VL '!Y23/100/3.6*1000000</f>
        <v>788.67366324448187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33431.381483985802</v>
      </c>
      <c r="C15" s="34"/>
      <c r="D15" s="38">
        <f>IF( ISERROR(IND_rest_gas_kWh/1000),0,IND_rest_gas_kWh/1000)*0.902</f>
        <v>20045.949554840732</v>
      </c>
      <c r="E15" s="34">
        <f>C37*'E Balans VL '!I15/100/3.6*1000000</f>
        <v>300.40406190493422</v>
      </c>
      <c r="F15" s="34">
        <f>C37*'E Balans VL '!L15/100/3.6*1000000+C37*'E Balans VL '!N15/100/3.6*1000000</f>
        <v>6583.3233693036073</v>
      </c>
      <c r="G15" s="35"/>
      <c r="H15" s="34"/>
      <c r="I15" s="34"/>
      <c r="J15" s="41">
        <f>C37*'E Balans VL '!D15/100/3.6*1000000+C37*'E Balans VL '!E15/100/3.6*1000000</f>
        <v>168.11874174163381</v>
      </c>
      <c r="K15" s="34"/>
      <c r="L15" s="34"/>
      <c r="M15" s="34"/>
      <c r="N15" s="34">
        <f>C37*'E Balans VL '!Y15/100/3.6*1000000</f>
        <v>1026.2553378626096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40687.014007379796</v>
      </c>
      <c r="C18" s="22">
        <f>C5+C16</f>
        <v>0</v>
      </c>
      <c r="D18" s="22">
        <f>MAX((D5+D16),0)</f>
        <v>21669.007050702694</v>
      </c>
      <c r="E18" s="22">
        <f>MAX((E5+E16),0)</f>
        <v>418.48876598729896</v>
      </c>
      <c r="F18" s="22">
        <f>MAX((F5+F16),0)</f>
        <v>9879.441420658437</v>
      </c>
      <c r="G18" s="22"/>
      <c r="H18" s="22"/>
      <c r="I18" s="22"/>
      <c r="J18" s="22">
        <f>MAX((J5+J16),0)</f>
        <v>185.36103573479156</v>
      </c>
      <c r="K18" s="22"/>
      <c r="L18" s="22">
        <f>MAX((L5+L16),0)</f>
        <v>0</v>
      </c>
      <c r="M18" s="22"/>
      <c r="N18" s="22">
        <f>MAX((N5+N16),0)</f>
        <v>2074.6850986158906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0.21035542300664897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8558.7340423998285</v>
      </c>
      <c r="C22" s="24">
        <f ca="1">C18*C20</f>
        <v>0</v>
      </c>
      <c r="D22" s="24">
        <f>D18*D20</f>
        <v>4377.1394242419447</v>
      </c>
      <c r="E22" s="24">
        <f>E18*E20</f>
        <v>94.996949879116869</v>
      </c>
      <c r="F22" s="24">
        <f>F18*F20</f>
        <v>2637.8108593158026</v>
      </c>
      <c r="G22" s="24"/>
      <c r="H22" s="24"/>
      <c r="I22" s="24"/>
      <c r="J22" s="24">
        <f>J18*J20</f>
        <v>65.617806650116208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803.940236759821</v>
      </c>
      <c r="C30" s="40">
        <f>IF(ISERROR(B30*3.6/1000000/'E Balans VL '!Z18*100),0,B30*3.6/1000000/'E Balans VL '!Z18*100)</f>
        <v>4.4733898273444671E-2</v>
      </c>
      <c r="D30" s="236" t="s">
        <v>691</v>
      </c>
    </row>
    <row r="31" spans="1:18">
      <c r="A31" s="6" t="s">
        <v>32</v>
      </c>
      <c r="B31" s="38">
        <f>IF( ISERROR(IND_ander_ele_kWh/1000),0,IND_ander_ele_kWh/1000)</f>
        <v>3307.0807725672198</v>
      </c>
      <c r="C31" s="40">
        <f>IF(ISERROR(B31*3.6/1000000/'E Balans VL '!Z19*100),0,B31*3.6/1000000/'E Balans VL '!Z19*100)</f>
        <v>0.1537374997214338</v>
      </c>
      <c r="D31" s="236" t="s">
        <v>691</v>
      </c>
    </row>
    <row r="32" spans="1:18">
      <c r="A32" s="171" t="s">
        <v>40</v>
      </c>
      <c r="B32" s="38">
        <f>IF( ISERROR(IND_voed_ele_kWh/1000),0,IND_voed_ele_kWh/1000)</f>
        <v>434.36059499746898</v>
      </c>
      <c r="C32" s="40">
        <f>IF(ISERROR(B32*3.6/1000000/'E Balans VL '!Z20*100),0,B32*3.6/1000000/'E Balans VL '!Z20*100)</f>
        <v>1.5353769804787924E-2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566.95977271817299</v>
      </c>
      <c r="C34" s="40">
        <f>IF(ISERROR(B34*3.6/1000000/'E Balans VL '!Z22*100),0,B34*3.6/1000000/'E Balans VL '!Z22*100)</f>
        <v>0.11394292659089303</v>
      </c>
      <c r="D34" s="236" t="s">
        <v>691</v>
      </c>
    </row>
    <row r="35" spans="1:5">
      <c r="A35" s="171" t="s">
        <v>38</v>
      </c>
      <c r="B35" s="38">
        <f>IF( ISERROR(IND_papier_ele_kWh/1000),0,IND_papier_ele_kWh/1000)</f>
        <v>2143.2911463513101</v>
      </c>
      <c r="C35" s="40">
        <f>IF(ISERROR(B35*3.6/1000000/'E Balans VL '!Z22*100),0,B35*3.6/1000000/'E Balans VL '!Z22*100)</f>
        <v>0.43074108164815561</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33431.381483985802</v>
      </c>
      <c r="C37" s="40">
        <f>IF(ISERROR(B37*3.6/1000000/'E Balans VL '!Z15*100),0,B37*3.6/1000000/'E Balans VL '!Z15*100)</f>
        <v>0.25245631582238931</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2114.6158514988015</v>
      </c>
      <c r="C5" s="18">
        <f>'Eigen informatie GS &amp; warmtenet'!B60</f>
        <v>0</v>
      </c>
      <c r="D5" s="31">
        <f>IF(ISERROR(SUM(LB_lb_gas_kWh,LB_rest_gas_kWh)/1000),0,SUM(LB_lb_gas_kWh,LB_rest_gas_kWh)/1000)*0.902</f>
        <v>1039.0910041530606</v>
      </c>
      <c r="E5" s="18">
        <f>B17*'E Balans VL '!I25/3.6*1000000/100</f>
        <v>19.921098160215919</v>
      </c>
      <c r="F5" s="18">
        <f>B17*('E Balans VL '!L25/3.6*1000000+'E Balans VL '!N25/3.6*1000000)/100</f>
        <v>6900.6933028091471</v>
      </c>
      <c r="G5" s="19"/>
      <c r="H5" s="18"/>
      <c r="I5" s="18"/>
      <c r="J5" s="18">
        <f>('E Balans VL '!D25+'E Balans VL '!E25)/3.6*1000000*landbouw!B17/100</f>
        <v>261.58826631992764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2114.6158514988015</v>
      </c>
      <c r="C8" s="22">
        <f>C5+C6</f>
        <v>0</v>
      </c>
      <c r="D8" s="22">
        <f>MAX((D5+D6),0)</f>
        <v>1039.0910041530606</v>
      </c>
      <c r="E8" s="22">
        <f>MAX((E5+E6),0)</f>
        <v>19.921098160215919</v>
      </c>
      <c r="F8" s="22">
        <f>MAX((F5+F6),0)</f>
        <v>6900.6933028091471</v>
      </c>
      <c r="G8" s="22"/>
      <c r="H8" s="22"/>
      <c r="I8" s="22"/>
      <c r="J8" s="22">
        <f>MAX((J5+J6),0)</f>
        <v>261.58826631992764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0.21035542300664897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444.8209119385956</v>
      </c>
      <c r="C12" s="24">
        <f ca="1">C8*C10</f>
        <v>0</v>
      </c>
      <c r="D12" s="24">
        <f>D8*D10</f>
        <v>209.89638283891824</v>
      </c>
      <c r="E12" s="24">
        <f>E8*E10</f>
        <v>4.5220892823690138</v>
      </c>
      <c r="F12" s="24">
        <f>F8*F10</f>
        <v>1842.4851118500424</v>
      </c>
      <c r="G12" s="24"/>
      <c r="H12" s="24"/>
      <c r="I12" s="24"/>
      <c r="J12" s="24">
        <f>J8*J10</f>
        <v>92.60224627725438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0.28628519581181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61.016024668331184</v>
      </c>
      <c r="C26" s="246">
        <f>B26*'GWP N2O_CH4'!B5</f>
        <v>1281.3365180349549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13.157626484247238</v>
      </c>
      <c r="C27" s="246">
        <f>B27*'GWP N2O_CH4'!B5</f>
        <v>276.310156169192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1.4765419568084528</v>
      </c>
      <c r="C28" s="246">
        <f>B28*'GWP N2O_CH4'!B4</f>
        <v>457.72800661062035</v>
      </c>
      <c r="D28" s="51"/>
    </row>
    <row r="29" spans="1:4">
      <c r="A29" s="42" t="s">
        <v>272</v>
      </c>
      <c r="B29" s="246">
        <f>B34*'ha_N2O bodem landbouw'!B4</f>
        <v>8.6149999021674084</v>
      </c>
      <c r="C29" s="246">
        <f>B29*'GWP N2O_CH4'!B4</f>
        <v>2670.6499696718965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2.325778771089468E-3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4.9543129565551725E-5</v>
      </c>
      <c r="C5" s="435" t="s">
        <v>210</v>
      </c>
      <c r="D5" s="420">
        <f>SUM(D6:D11)</f>
        <v>6.0254761852858628E-5</v>
      </c>
      <c r="E5" s="420">
        <f>SUM(E6:E11)</f>
        <v>4.2199886571671411E-3</v>
      </c>
      <c r="F5" s="433" t="s">
        <v>210</v>
      </c>
      <c r="G5" s="420">
        <f>SUM(G6:G11)</f>
        <v>0.91298574659902632</v>
      </c>
      <c r="H5" s="420">
        <f>SUM(H6:H11)</f>
        <v>0.1484643620306014</v>
      </c>
      <c r="I5" s="435" t="s">
        <v>210</v>
      </c>
      <c r="J5" s="435" t="s">
        <v>210</v>
      </c>
      <c r="K5" s="435" t="s">
        <v>210</v>
      </c>
      <c r="L5" s="435" t="s">
        <v>210</v>
      </c>
      <c r="M5" s="420">
        <f>SUM(M6:M11)</f>
        <v>4.742437078416184E-2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1.8362586656564803E-5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2.1386564464782202E-5</v>
      </c>
      <c r="E6" s="423">
        <f>vkm_GW_PW*SUMIFS(TableVerdeelsleutelVkm[LPG],TableVerdeelsleutelVkm[Voertuigtype],"Lichte voertuigen")*SUMIFS(TableECFTransport[EnergieConsumptieFactor (PJ per km)],TableECFTransport[Index],CONCATENATE($A6,"_LPG_LPG"))</f>
        <v>1.3875053452849044E-3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0.21647692030832444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5.2170903544077385E-2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1.2022007612993168E-2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7.1093467262817079E-7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0.11760428436275151</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3.15574202484589E-6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5.2330070073296478E-3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7.6769064425036615E-6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1.4602796982696613E-5</v>
      </c>
      <c r="E8" s="423">
        <f>vkm_NGW_PW*SUMIFS(TableVerdeelsleutelVkm[LPG],TableVerdeelsleutelVkm[Voertuigtype],"Lichte voertuigen")*SUMIFS(TableECFTransport[EnergieConsumptieFactor (PJ per km)],TableECFTransport[Index],CONCATENATE($A8,"_LPG_LPG"))</f>
        <v>8.9761875532092092E-4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0.13184023346434309</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3.3956733730965902E-2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7.4217311494415711E-3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7.6072860622864186E-8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1.6137201445543991E-2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4.0758481142969376E-7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7.1805165677759069E-4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2.1755861645813253E-5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2.4265400405379807E-5</v>
      </c>
      <c r="E10" s="423">
        <f>vkm_SW_PW*SUMIFS(TableVerdeelsleutelVkm[LPG],TableVerdeelsleutelVkm[Voertuigtype],"Lichte voertuigen")*SUMIFS(TableECFTransport[EnergieConsumptieFactor (PJ per km)],TableECFTransport[Index],CONCATENATE($A10,"_LPG_LPG"))</f>
        <v>1.9348645565613156E-3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0.28205285203115993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6.2328771874228944E-2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1.5405136584889491E-2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9.6076728741896663E-7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0.14887425498690338</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4.3895544928834147E-6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6.6244367727303737E-3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13.761980434875479</v>
      </c>
      <c r="C14" s="22"/>
      <c r="D14" s="22">
        <f t="shared" ref="D14:M14" si="0">((D5)*10^9/3600)+D12</f>
        <v>16.737433848016284</v>
      </c>
      <c r="E14" s="22">
        <f t="shared" si="0"/>
        <v>1172.2190714353171</v>
      </c>
      <c r="F14" s="22"/>
      <c r="G14" s="22">
        <f t="shared" si="0"/>
        <v>253607.15183306288</v>
      </c>
      <c r="H14" s="22">
        <f t="shared" si="0"/>
        <v>41240.100564055945</v>
      </c>
      <c r="I14" s="22"/>
      <c r="J14" s="22"/>
      <c r="K14" s="22"/>
      <c r="L14" s="22"/>
      <c r="M14" s="22">
        <f t="shared" si="0"/>
        <v>13173.436328933845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0.21035542300664897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2.8949072157874585</v>
      </c>
      <c r="C18" s="24"/>
      <c r="D18" s="24">
        <f t="shared" ref="D18:M18" si="1">D14*D16</f>
        <v>3.3809616372992894</v>
      </c>
      <c r="E18" s="24">
        <f t="shared" si="1"/>
        <v>266.09372921581701</v>
      </c>
      <c r="F18" s="24"/>
      <c r="G18" s="24">
        <f t="shared" si="1"/>
        <v>67713.109539427795</v>
      </c>
      <c r="H18" s="24">
        <f t="shared" si="1"/>
        <v>10268.78504044993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7.1451573245538119E-5</v>
      </c>
      <c r="C50" s="316">
        <f t="shared" ref="C50:P50" si="2">SUM(C51:C52)</f>
        <v>0</v>
      </c>
      <c r="D50" s="316">
        <f t="shared" si="2"/>
        <v>0</v>
      </c>
      <c r="E50" s="316">
        <f t="shared" si="2"/>
        <v>0</v>
      </c>
      <c r="F50" s="316">
        <f t="shared" si="2"/>
        <v>0</v>
      </c>
      <c r="G50" s="316">
        <f t="shared" si="2"/>
        <v>1.4251157155268443E-2</v>
      </c>
      <c r="H50" s="316">
        <f t="shared" si="2"/>
        <v>0</v>
      </c>
      <c r="I50" s="316">
        <f t="shared" si="2"/>
        <v>0</v>
      </c>
      <c r="J50" s="316">
        <f t="shared" si="2"/>
        <v>0</v>
      </c>
      <c r="K50" s="316">
        <f t="shared" si="2"/>
        <v>0</v>
      </c>
      <c r="L50" s="316">
        <f t="shared" si="2"/>
        <v>0</v>
      </c>
      <c r="M50" s="316">
        <f t="shared" si="2"/>
        <v>6.2988596792848037E-4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7.1451573245538119E-5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1.4251157155268443E-2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6.2988596792848037E-4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19.847659234871699</v>
      </c>
      <c r="C54" s="22">
        <f t="shared" ref="C54:P54" si="3">(C50)*10^9/3600</f>
        <v>0</v>
      </c>
      <c r="D54" s="22">
        <f t="shared" si="3"/>
        <v>0</v>
      </c>
      <c r="E54" s="22">
        <f t="shared" si="3"/>
        <v>0</v>
      </c>
      <c r="F54" s="22">
        <f t="shared" si="3"/>
        <v>0</v>
      </c>
      <c r="G54" s="22">
        <f t="shared" si="3"/>
        <v>3958.6547653523448</v>
      </c>
      <c r="H54" s="22">
        <f t="shared" si="3"/>
        <v>0</v>
      </c>
      <c r="I54" s="22">
        <f t="shared" si="3"/>
        <v>0</v>
      </c>
      <c r="J54" s="22">
        <f t="shared" si="3"/>
        <v>0</v>
      </c>
      <c r="K54" s="22">
        <f t="shared" si="3"/>
        <v>0</v>
      </c>
      <c r="L54" s="22">
        <f t="shared" si="3"/>
        <v>0</v>
      </c>
      <c r="M54" s="22">
        <f t="shared" si="3"/>
        <v>174.96832442457787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0.21035542300664897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4.1750627540432594</v>
      </c>
      <c r="C58" s="24">
        <f t="shared" ref="C58:P58" ca="1" si="4">C54*C56</f>
        <v>0</v>
      </c>
      <c r="D58" s="24">
        <f t="shared" si="4"/>
        <v>0</v>
      </c>
      <c r="E58" s="24">
        <f t="shared" si="4"/>
        <v>0</v>
      </c>
      <c r="F58" s="24">
        <f t="shared" si="4"/>
        <v>0</v>
      </c>
      <c r="G58" s="24">
        <f t="shared" si="4"/>
        <v>1056.9608223490761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6775.4880750813609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6775.4880750813609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2021-06-29T16:41:03Z</dcterms:modified>
</cp:coreProperties>
</file>