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<sst xmlns="http://schemas.openxmlformats.org/spreadsheetml/2006/main" count="2565" uniqueCount="965">
  <si>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</si>
  <si>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</si>
  <si>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</si>
  <si>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</si>
  <si>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</si>
  <si>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</si>
  <si>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</si>
  <si>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</si>
  <si>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</si>
  <si>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</si>
  <si>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</si>
  <si>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</si>
  <si>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</si>
  <si>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</si>
  <si>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</si>
  <si>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</si>
  <si>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</si>
  <si>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</si>
  <si>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</si>
  <si>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</si>
  <si>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</si>
  <si>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</si>
  <si>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</si>
  <si>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</si>
  <si>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</si>
  <si>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</si>
  <si>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</si>
  <si>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</si>
  <si>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</si>
  <si>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</si>
  <si>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</si>
  <si>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</si>
  <si>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</si>
  <si>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</si>
  <si>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</si>
  <si>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</si>
  <si>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</si>
  <si>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</si>
  <si>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</si>
  <si>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</si>
  <si>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</si>
  <si>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</si>
  <si>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</si>
  <si>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</si>
  <si>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</si>
  <si>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</si>
  <si>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</si>
  <si>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</si>
  <si>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</si>
  <si>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</si>
  <si>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</si>
  <si>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</si>
  <si>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</si>
  <si>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</si>
  <si>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</si>
  <si>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</si>
  <si>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</si>
  <si>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</si>
  <si>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</si>
  <si>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</si>
  <si>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</si>
  <si>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</si>
  <si>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</si>
  <si>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</si>
  <si>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</si>
  <si>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</si>
  <si>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</si>
  <si>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</si>
  <si>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</si>
  <si>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</si>
  <si>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</si>
  <si>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</si>
  <si>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</si>
  <si>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</si>
  <si>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</si>
  <si>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</si>
  <si>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</si>
  <si>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</si>
  <si>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</si>
  <si>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</si>
  <si>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</si>
  <si>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</si>
  <si>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</si>
  <si>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</si>
  <si>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</si>
  <si>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</si>
  <si>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</si>
  <si>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</si>
  <si>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</si>
  <si>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</si>
  <si>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</si>
  <si>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</si>
  <si>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</si>
  <si>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</si>
  <si>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</si>
  <si>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</si>
  <si>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</si>
  <si>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</si>
  <si>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</si>
  <si>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</si>
  <si>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</si>
  <si>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</si>
  <si>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</si>
  <si>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</si>
  <si>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</si>
  <si>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</si>
  <si>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</si>
  <si>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</si>
  <si>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</si>
  <si>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</si>
  <si>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</si>
  <si>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</si>
  <si>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</si>
  <si>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</si>
  <si>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</si>
  <si>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</si>
  <si>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</si>
  <si>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</si>
  <si>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</si>
  <si>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</si>
  <si>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</si>
  <si>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</si>
  <si>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</si>
  <si>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</si>
  <si>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</si>
  <si>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</si>
  <si>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</si>
  <si>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</si>
  <si>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</si>
  <si>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</si>
  <si>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</si>
  <si>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</si>
  <si>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</si>
  <si>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</si>
  <si>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</si>
  <si>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</si>
  <si>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</si>
  <si>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</si>
  <si>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</si>
  <si>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</si>
  <si>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</si>
  <si>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</si>
  <si>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</si>
  <si>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</si>
  <si>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</si>
  <si>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</si>
  <si>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</si>
  <si>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</si>
  <si>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</si>
  <si>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</si>
  <si>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</si>
  <si>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</si>
  <si>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</si>
  <si>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</si>
  <si>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</si>
  <si>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</si>
  <si>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</si>
  <si>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</si>
  <si>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</si>
  <si>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</si>
  <si>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</si>
  <si>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</si>
  <si>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</si>
  <si>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</si>
  <si>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</si>
  <si>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</si>
  <si>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</si>
  <si>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</si>
  <si>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</si>
  <si>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</si>
  <si>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</si>
  <si>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</si>
  <si>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</si>
  <si>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</si>
  <si>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</si>
  <si>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</si>
  <si>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</si>
  <si>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</si>
  <si>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</si>
  <si>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</si>
  <si>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</si>
  <si>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</si>
  <si>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</si>
  <si>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</si>
  <si>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</si>
  <si>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</si>
  <si>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</si>
  <si>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</si>
  <si>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</si>
  <si>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</si>
  <si>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</si>
  <si>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</si>
  <si>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</si>
  <si>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</si>
  <si>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</si>
  <si>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</si>
  <si>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</si>
  <si>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</si>
  <si>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</si>
  <si>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</si>
  <si>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</si>
  <si>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</si>
  <si>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</si>
  <si>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</si>
  <si>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</si>
  <si>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</si>
  <si>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</si>
  <si>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</si>
  <si>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</si>
  <si>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</si>
  <si>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</si>
  <si>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</si>
  <si>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</si>
  <si>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</si>
  <si>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</si>
  <si>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</si>
  <si>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</si>
  <si>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</si>
  <si>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</si>
  <si>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</si>
  <si>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</si>
  <si>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</si>
  <si>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</si>
  <si>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</si>
  <si>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</si>
  <si>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</si>
  <si>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</si>
  <si>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</si>
  <si>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</si>
  <si>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</si>
  <si>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</si>
  <si>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</si>
  <si>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</si>
  <si>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</si>
  <si>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</si>
  <si>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</si>
  <si>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</si>
  <si>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</si>
  <si>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</si>
  <si>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</si>
  <si>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</si>
  <si>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</si>
  <si>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</si>
  <si>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</si>
  <si>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</si>
  <si>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</si>
  <si>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</si>
  <si>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</si>
  <si>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</si>
  <si>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</si>
  <si>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</si>
  <si>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</si>
  <si>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</si>
  <si>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</si>
  <si>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</si>
  <si>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</si>
  <si>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</si>
  <si>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</si>
  <si>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</si>
  <si>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</si>
  <si>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</si>
  <si>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</si>
  <si>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</si>
  <si>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</si>
  <si>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</si>
  <si>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</si>
  <si>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</si>
  <si>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</si>
  <si>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</si>
  <si>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</si>
  <si>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</si>
  <si>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</si>
  <si>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</si>
  <si>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</si>
  <si>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</si>
  <si>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</si>
  <si>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</si>
  <si>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</si>
  <si>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</si>
  <si>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</si>
  <si>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</si>
  <si>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</si>
  <si>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</si>
  <si>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</si>
  <si>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</si>
  <si>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</si>
  <si>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</si>
  <si>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</si>
  <si>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</si>
  <si>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</si>
  <si>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</si>
  <si>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</si>
  <si>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</si>
  <si>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</si>
  <si>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</si>
  <si>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</si>
  <si>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</si>
  <si>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</si>
  <si>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</si>
  <si>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</si>
  <si>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</si>
  <si>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</si>
  <si>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</si>
  <si>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</si>
  <si>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</si>
  <si>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</si>
  <si>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</si>
  <si>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</si>
  <si>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</si>
  <si>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</si>
  <si>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</si>
  <si>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</si>
  <si>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</si>
  <si>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</si>
  <si>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</si>
  <si>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</si>
  <si>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</si>
  <si>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</si>
  <si>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</si>
  <si>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</si>
  <si>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</si>
  <si>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</si>
  <si>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</si>
  <si>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</si>
  <si>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</si>
  <si>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</si>
  <si>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</si>
  <si>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</si>
  <si>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</si>
  <si>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</si>
  <si>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</si>
  <si>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</si>
  <si>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</si>
  <si>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</si>
  <si>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</si>
  <si>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</si>
  <si>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</si>
  <si>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</si>
  <si>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</si>
  <si>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</si>
  <si>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</si>
  <si>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</si>
  <si>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</si>
  <si>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</si>
  <si>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</si>
  <si>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</si>
  <si>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</si>
  <si>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</si>
  <si>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</si>
  <si>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</si>
  <si>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</si>
  <si>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</si>
  <si>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</si>
  <si>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</si>
  <si>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</si>
  <si>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</si>
  <si>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</si>
  <si>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</si>
  <si>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</si>
  <si>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</si>
  <si>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</si>
  <si>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</si>
  <si>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</si>
  <si>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</si>
  <si>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</si>
  <si>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</si>
  <si>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</si>
  <si>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</si>
  <si>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</si>
  <si>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</si>
  <si>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</si>
  <si>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</si>
  <si>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</si>
  <si>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</si>
  <si>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</si>
  <si>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</si>
  <si>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</si>
  <si>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</si>
  <si>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</si>
  <si>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</si>
  <si>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</si>
  <si>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</si>
  <si>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</si>
  <si>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</si>
  <si>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</si>
  <si>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</si>
  <si>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</si>
  <si>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</si>
  <si>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</si>
  <si>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</si>
  <si>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</si>
  <si>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</si>
  <si>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</si>
  <si>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</si>
  <si>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</si>
  <si>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</si>
  <si>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</si>
  <si>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</si>
  <si>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</si>
  <si>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</si>
  <si>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</si>
  <si>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</si>
  <si>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</si>
  <si>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</si>
  <si>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</si>
  <si>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</si>
  <si>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</si>
  <si>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</si>
  <si>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</si>
  <si>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</si>
  <si>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</si>
  <si>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</si>
  <si>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</si>
  <si>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</si>
  <si>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</si>
  <si>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</si>
  <si>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</si>
  <si>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</si>
  <si>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</si>
  <si>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</si>
  <si>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</si>
  <si>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</si>
  <si>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</si>
  <si>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</si>
  <si>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</si>
  <si>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</si>
  <si>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</si>
  <si>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</si>
  <si>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</si>
  <si>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</si>
  <si>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</si>
  <si>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</si>
  <si>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</si>
  <si>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</si>
  <si>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</si>
  <si>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</si>
  <si>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</si>
  <si>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</si>
  <si>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</si>
  <si>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</si>
  <si>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</si>
  <si>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</si>
  <si>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</si>
  <si>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</si>
  <si>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</si>
  <si>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</si>
  <si>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</si>
  <si>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</si>
  <si>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</si>
  <si>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</si>
  <si>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</si>
  <si>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</si>
  <si>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</si>
  <si>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</si>
  <si>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</si>
  <si>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</si>
  <si>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</si>
  <si>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</si>
  <si>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</si>
  <si>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</si>
  <si>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</si>
  <si>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</si>
  <si>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</si>
  <si>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</si>
  <si>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</si>
  <si>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</si>
  <si>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</si>
  <si>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</si>
  <si>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</si>
  <si>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</si>
  <si>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</si>
  <si>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</si>
  <si>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</si>
  <si>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</si>
  <si>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</si>
  <si>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</si>
  <si>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</si>
  <si>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</si>
  <si>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</si>
  <si>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</si>
  <si>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</si>
  <si>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</si>
  <si>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</si>
  <si>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</si>
  <si>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</si>
  <si>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</si>
  <si>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</si>
  <si>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</si>
  <si>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</si>
  <si>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</si>
  <si>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</si>
  <si>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</si>
  <si>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</si>
  <si>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</si>
  <si>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</si>
  <si>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</si>
  <si>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</si>
  <si>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</si>
  <si>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</si>
  <si>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</si>
  <si>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</si>
  <si>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</si>
  <si>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</si>
  <si>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</si>
  <si>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</si>
  <si>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</si>
  <si>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</si>
  <si>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</si>
  <si>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</si>
  <si>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</si>
  <si>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</si>
  <si>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</si>
  <si>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</si>
  <si>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</si>
  <si>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</si>
  <si>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</si>
  <si>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</si>
  <si>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</si>
  <si>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</si>
  <si>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</si>
  <si>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</si>
  <si>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</si>
  <si>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</si>
  <si>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</si>
  <si>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</si>
  <si>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</si>
  <si>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</si>
  <si>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</si>
  <si>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</si>
  <si>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</si>
  <si>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</si>
  <si>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</si>
  <si>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</si>
  <si>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</si>
  <si>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</si>
  <si>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</si>
  <si>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</si>
  <si>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</si>
  <si>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</si>
  <si>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</si>
  <si>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</si>
  <si>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</si>
  <si>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</si>
  <si>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</si>
  <si>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</si>
  <si>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</si>
  <si>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</si>
  <si>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</si>
  <si>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</si>
  <si>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</si>
  <si>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</si>
  <si>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</si>
  <si>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</si>
  <si>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</si>
  <si>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</si>
  <si>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</si>
  <si>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</si>
  <si>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</si>
  <si>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</si>
  <si>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</si>
  <si>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</si>
  <si>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</si>
  <si>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</si>
  <si>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</si>
  <si>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</si>
  <si>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</si>
  <si>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</si>
  <si>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</si>
  <si>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</si>
  <si>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</si>
  <si>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</si>
  <si>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</si>
  <si>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</si>
  <si>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</si>
  <si>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</si>
  <si>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</si>
  <si>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</si>
  <si>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</si>
  <si>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</si>
  <si>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</si>
  <si>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</si>
  <si>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</si>
  <si>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</si>
  <si>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</si>
  <si>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</si>
  <si>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</si>
  <si>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</si>
  <si>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</si>
  <si>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</si>
  <si>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</si>
  <si>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</si>
  <si>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</si>
  <si>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</si>
  <si>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</si>
  <si>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</si>
  <si>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</si>
  <si>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</si>
  <si>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</si>
  <si>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</si>
  <si>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</si>
  <si>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</si>
  <si>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</si>
  <si>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</si>
  <si>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</si>
  <si>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</si>
  <si>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</si>
  <si>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</si>
  <si>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</si>
  <si>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</si>
  <si>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</si>
  <si>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</si>
  <si>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</si>
  <si>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</si>
  <si>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</si>
  <si>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</si>
  <si>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</si>
  <si>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</si>
  <si>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</si>
  <si>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</si>
  <si>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</si>
  <si>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</si>
  <si>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</si>
  <si>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</si>
  <si>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</si>
  <si>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</si>
  <si>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</si>
  <si>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</si>
  <si>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</si>
  <si>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</si>
  <si>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</si>
  <si>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</si>
  <si>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</si>
  <si>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</si>
  <si>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</si>
  <si>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</si>
  <si>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</si>
  <si>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</si>
  <si>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</si>
  <si>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</si>
  <si>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</si>
  <si>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</si>
  <si>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</si>
  <si>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</si>
  <si>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</si>
  <si>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</si>
  <si>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</si>
  <si>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</si>
  <si>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</si>
  <si>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</si>
  <si>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</si>
  <si>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</si>
  <si>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</si>
  <si>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</si>
  <si>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</si>
  <si>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</si>
  <si>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</si>
  <si>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</si>
  <si>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</si>
  <si>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</si>
  <si>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</si>
  <si>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</si>
  <si>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</si>
  <si>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</si>
  <si>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</si>
  <si>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</si>
  <si>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</si>
  <si>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</si>
  <si>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</si>
  <si>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</si>
  <si>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</si>
  <si>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</si>
  <si>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</si>
  <si>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</si>
  <si>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</si>
  <si>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</si>
  <si>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</si>
  <si>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</si>
  <si>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</si>
  <si>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</si>
  <si>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</si>
  <si>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</si>
  <si>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</si>
  <si>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</si>
  <si>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</si>
  <si>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</si>
  <si>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</si>
  <si>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</si>
  <si>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</si>
  <si>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</si>
  <si>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</si>
  <si>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</si>
  <si>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</si>
  <si>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</si>
  <si>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</si>
  <si>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</si>
  <si>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</si>
  <si>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</si>
  <si>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</si>
  <si>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</si>
  <si>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</si>
  <si>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</si>
  <si>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</si>
  <si>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</si>
  <si>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</si>
  <si>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</si>
  <si>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</si>
  <si>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</si>
  <si>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</si>
  <si>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</si>
  <si>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</si>
  <si>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</si>
  <si>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</si>
  <si>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</si>
  <si>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</si>
  <si>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</si>
  <si>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</si>
  <si>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</si>
  <si>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</si>
  <si>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</si>
  <si>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</si>
  <si>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</si>
  <si>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</si>
  <si>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</si>
  <si>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</si>
  <si>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</si>
  <si>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</si>
  <si>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</si>
  <si>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</si>
  <si>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</si>
  <si>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</si>
  <si>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</si>
  <si>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</si>
  <si>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</si>
  <si>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</si>
  <si>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</si>
  <si>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</si>
  <si>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</si>
  <si>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</si>
  <si>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</si>
  <si>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</si>
  <si>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</si>
  <si>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</si>
  <si>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</si>
  <si>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</si>
  <si>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</si>
  <si>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</si>
  <si>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</si>
  <si>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</si>
  <si>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</si>
  <si>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</si>
  <si>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</si>
  <si>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</si>
  <si>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</si>
  <si>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</si>
  <si>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</si>
  <si>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</si>
  <si>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</si>
  <si>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</si>
  <si>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</si>
  <si>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</si>
  <si>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</si>
  <si>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</si>
  <si>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</si>
  <si>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</si>
  <si>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</si>
  <si>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</si>
  <si>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</si>
  <si>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</si>
  <si>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</si>
  <si>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</si>
  <si>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</si>
  <si>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</si>
  <si>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</si>
  <si>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</si>
  <si>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</si>
  <si>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</si>
  <si>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</si>
  <si>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</si>
  <si>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</si>
  <si>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</si>
  <si>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</si>
  <si>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</si>
  <si>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</si>
  <si>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</si>
  <si>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</si>
  <si>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</si>
  <si>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</si>
  <si>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</si>
  <si>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</si>
  <si>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</si>
  <si>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</si>
  <si>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</si>
  <si>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</si>
  <si>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</si>
  <si>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</si>
  <si>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</si>
  <si>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</si>
  <si>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</si>
  <si>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</si>
  <si>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</si>
  <si>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</si>
  <si>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</si>
  <si>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</si>
  <si>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</si>
  <si>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</si>
  <si>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</si>
  <si>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</si>
  <si>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</si>
  <si>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</si>
  <si>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</si>
  <si>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</si>
  <si>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</si>
  <si>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</si>
  <si>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</si>
  <si>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</si>
  <si>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</si>
  <si>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</si>
  <si>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</si>
  <si>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</si>
  <si>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</si>
  <si>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</si>
  <si>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</si>
  <si>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</si>
  <si>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</si>
  <si>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</si>
  <si>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</si>
  <si>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</si>
  <si>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</si>
  <si>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</si>
  <si>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</si>
  <si>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</si>
  <si>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</si>
  <si>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</si>
  <si>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</si>
  <si>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</si>
  <si>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</si>
  <si>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</si>
  <si>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</si>
  <si>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</si>
  <si>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</si>
  <si>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</si>
  <si>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</si>
  <si>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</si>
  <si>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</si>
  <si>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</si>
  <si>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</si>
  <si>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</si>
  <si>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</si>
  <si>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</si>
  <si>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</si>
  <si>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</si>
  <si>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</si>
  <si>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</si>
  <si>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</si>
  <si>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</si>
  <si>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</si>
  <si>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</si>
  <si>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</si>
  <si>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</si>
  <si>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</si>
  <si>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</si>
  <si>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</si>
  <si>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</si>
  <si>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</si>
  <si>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</si>
  <si>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</si>
  <si>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</si>
  <si>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</si>
  <si>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</si>
  <si>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</si>
  <si>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</si>
  <si>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</si>
  <si>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</si>
  <si>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</si>
  <si>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</si>
  <si>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</si>
  <si>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</si>
  <si>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</si>
  <si>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</si>
  <si>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</si>
  <si>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</si>
  <si>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</si>
  <si>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</si>
  <si>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</si>
  <si>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</si>
  <si>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</si>
  <si>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</si>
  <si>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</si>
  <si>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</si>
  <si>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</si>
  <si>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</si>
  <si>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</si>
  <si>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</si>
  <si>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</si>
  <si>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</si>
  <si>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</si>
  <si>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</si>
  <si>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</si>
  <si>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</si>
  <si>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</si>
  <si>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</si>
  <si>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</si>
  <si>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</si>
  <si>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</si>
  <si>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</si>
  <si>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</si>
  <si>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</si>
  <si>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</si>
  <si>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</si>
  <si>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</si>
  <si>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</si>
  <si>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</si>
  <si>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</si>
  <si>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</si>
  <si>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</si>
  <si>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</si>
  <si>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</si>
  <si>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</si>
  <si>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</si>
  <si>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</si>
  <si>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</si>
  <si>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</si>
  <si>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</si>
  <si>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</si>
  <si>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</si>
  <si>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</si>
  <si>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</si>
  <si>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</si>
  <si>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</si>
  <si>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</si>
  <si>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</si>
  <si>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</si>
  <si>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</si>
  <si>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</si>
  <si>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</si>
  <si>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</si>
  <si>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</si>
  <si>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</si>
  <si>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</si>
  <si>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</si>
  <si>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</si>
  <si>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</si>
  <si>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</si>
  <si>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</si>
  <si>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</si>
  <si>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</si>
  <si>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</si>
  <si>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</si>
  <si>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</si>
  <si>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</si>
  <si>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</si>
  <si>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</si>
  <si>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</si>
  <si>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</si>
  <si>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</si>
  <si>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</si>
  <si>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</si>
  <si>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</si>
  <si>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</si>
  <si>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23081</t>
  </si>
  <si>
    <t>STEENOKKERZEEL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</si>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</sst>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23081</v>
      </c>
      <c r="B6" s="386"/>
      <c r="C6" s="387"/>
    </row>
    <row r="7" spans="1:7" s="384" customFormat="1" ht="15.75" customHeight="1">
      <c r="A7" s="388" t="str">
        <f>txtMunicipality</f>
        <v>STEENOKKERZEEL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24818.085999999999</v>
      </c>
      <c r="D10" s="676">
        <f ca="1">tertiair!C16</f>
        <v>0</v>
      </c>
      <c r="E10" s="676">
        <f ca="1">tertiair!D16</f>
        <v>23384.432983999999</v>
      </c>
      <c r="F10" s="676">
        <f>tertiair!E16</f>
        <v>88.239384878217137</v>
      </c>
      <c r="G10" s="676">
        <f ca="1">tertiair!F16</f>
        <v>3630.3316967094311</v>
      </c>
      <c r="H10" s="676">
        <f>tertiair!G16</f>
        <v>0</v>
      </c>
      <c r="I10" s="676">
        <f>tertiair!H16</f>
        <v>0</v>
      </c>
      <c r="J10" s="676">
        <f>tertiair!I16</f>
        <v>0</v>
      </c>
      <c r="K10" s="676">
        <f>tertiair!J16</f>
        <v>0</v>
      </c>
      <c r="L10" s="676">
        <f>tertiair!K16</f>
        <v>0</v>
      </c>
      <c r="M10" s="676">
        <f ca="1">tertiair!L16</f>
        <v>0</v>
      </c>
      <c r="N10" s="676">
        <f>tertiair!M16</f>
        <v>0</v>
      </c>
      <c r="O10" s="676">
        <f ca="1">tertiair!N16</f>
        <v>687.39132718254587</v>
      </c>
      <c r="P10" s="676">
        <f>tertiair!O16</f>
        <v>0</v>
      </c>
      <c r="Q10" s="677">
        <f>tertiair!P16</f>
        <v>19.066666666666666</v>
      </c>
      <c r="R10" s="679">
        <f ca="1">SUM(C10:Q10)</f>
        <v>52627.548059436849</v>
      </c>
      <c r="S10" s="68"/>
    </row>
    <row r="11" spans="1:19" s="445" customFormat="1">
      <c r="A11" s="791" t="s">
        <v>220</v>
      </c>
      <c r="B11" s="796"/>
      <c r="C11" s="676">
        <f>huishoudens!B8</f>
        <v>22064.057294549642</v>
      </c>
      <c r="D11" s="676">
        <f>huishoudens!C8</f>
        <v>0</v>
      </c>
      <c r="E11" s="676">
        <f>huishoudens!D8</f>
        <v>61291.92828</v>
      </c>
      <c r="F11" s="676">
        <f>huishoudens!E8</f>
        <v>736.07566312294887</v>
      </c>
      <c r="G11" s="676">
        <f>huishoudens!F8</f>
        <v>22440.809923192111</v>
      </c>
      <c r="H11" s="676">
        <f>huishoudens!G8</f>
        <v>0</v>
      </c>
      <c r="I11" s="676">
        <f>huishoudens!H8</f>
        <v>0</v>
      </c>
      <c r="J11" s="676">
        <f>huishoudens!I8</f>
        <v>0</v>
      </c>
      <c r="K11" s="676">
        <f>huishoudens!J8</f>
        <v>407.1806766495925</v>
      </c>
      <c r="L11" s="676">
        <f>huishoudens!K8</f>
        <v>0</v>
      </c>
      <c r="M11" s="676">
        <f>huishoudens!L8</f>
        <v>0</v>
      </c>
      <c r="N11" s="676">
        <f>huishoudens!M8</f>
        <v>0</v>
      </c>
      <c r="O11" s="676">
        <f>huishoudens!N8</f>
        <v>6330.9822316573982</v>
      </c>
      <c r="P11" s="676">
        <f>huishoudens!O8</f>
        <v>21.88666666666667</v>
      </c>
      <c r="Q11" s="677">
        <f>huishoudens!P8</f>
        <v>95.333333333333343</v>
      </c>
      <c r="R11" s="679">
        <f>SUM(C11:Q11)</f>
        <v>113388.25406917169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886.428</v>
      </c>
      <c r="D13" s="676">
        <f>industrie!C18</f>
        <v>0</v>
      </c>
      <c r="E13" s="676">
        <f>industrie!D18</f>
        <v>1160.08475</v>
      </c>
      <c r="F13" s="676">
        <f>industrie!E18</f>
        <v>7.6287551959388029</v>
      </c>
      <c r="G13" s="676">
        <f>industrie!F18</f>
        <v>252.58182369440877</v>
      </c>
      <c r="H13" s="676">
        <f>industrie!G18</f>
        <v>0</v>
      </c>
      <c r="I13" s="676">
        <f>industrie!H18</f>
        <v>0</v>
      </c>
      <c r="J13" s="676">
        <f>industrie!I18</f>
        <v>0</v>
      </c>
      <c r="K13" s="676">
        <f>industrie!J18</f>
        <v>4.7060204765947438</v>
      </c>
      <c r="L13" s="676">
        <f>industrie!K18</f>
        <v>0</v>
      </c>
      <c r="M13" s="676">
        <f>industrie!L18</f>
        <v>0</v>
      </c>
      <c r="N13" s="676">
        <f>industrie!M18</f>
        <v>0</v>
      </c>
      <c r="O13" s="676">
        <f>industrie!N18</f>
        <v>23.275655855910593</v>
      </c>
      <c r="P13" s="676">
        <f>industrie!O18</f>
        <v>0</v>
      </c>
      <c r="Q13" s="677">
        <f>industrie!P18</f>
        <v>0</v>
      </c>
      <c r="R13" s="679">
        <f>SUM(C13:Q13)</f>
        <v>2334.7050052228528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47768.571294549642</v>
      </c>
      <c r="D16" s="709">
        <f t="shared" ref="D16:R16" ca="1" si="0">SUM(D9:D15)</f>
        <v>0</v>
      </c>
      <c r="E16" s="709">
        <f t="shared" ca="1" si="0"/>
        <v>85836.446014000001</v>
      </c>
      <c r="F16" s="709">
        <f t="shared" si="0"/>
        <v>831.94380319710478</v>
      </c>
      <c r="G16" s="709">
        <f t="shared" ca="1" si="0"/>
        <v>26323.723443595954</v>
      </c>
      <c r="H16" s="709">
        <f t="shared" si="0"/>
        <v>0</v>
      </c>
      <c r="I16" s="709">
        <f t="shared" si="0"/>
        <v>0</v>
      </c>
      <c r="J16" s="709">
        <f t="shared" si="0"/>
        <v>0</v>
      </c>
      <c r="K16" s="709">
        <f t="shared" si="0"/>
        <v>411.88669712618724</v>
      </c>
      <c r="L16" s="709">
        <f t="shared" si="0"/>
        <v>0</v>
      </c>
      <c r="M16" s="709">
        <f t="shared" ca="1" si="0"/>
        <v>0</v>
      </c>
      <c r="N16" s="709">
        <f t="shared" si="0"/>
        <v>0</v>
      </c>
      <c r="O16" s="709">
        <f t="shared" ca="1" si="0"/>
        <v>7041.6492146958544</v>
      </c>
      <c r="P16" s="709">
        <f t="shared" si="0"/>
        <v>21.88666666666667</v>
      </c>
      <c r="Q16" s="709">
        <f t="shared" si="0"/>
        <v>114.4</v>
      </c>
      <c r="R16" s="709">
        <f t="shared" ca="1" si="0"/>
        <v>168350.50713383139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27.15554460503887</v>
      </c>
      <c r="D19" s="676">
        <f>transport!C54</f>
        <v>0</v>
      </c>
      <c r="E19" s="676">
        <f>transport!D54</f>
        <v>0</v>
      </c>
      <c r="F19" s="676">
        <f>transport!E54</f>
        <v>0</v>
      </c>
      <c r="G19" s="676">
        <f>transport!F54</f>
        <v>0</v>
      </c>
      <c r="H19" s="676">
        <f>transport!G54</f>
        <v>5416.2269104057505</v>
      </c>
      <c r="I19" s="676">
        <f>transport!H54</f>
        <v>0</v>
      </c>
      <c r="J19" s="676">
        <f>transport!I54</f>
        <v>0</v>
      </c>
      <c r="K19" s="676">
        <f>transport!J54</f>
        <v>0</v>
      </c>
      <c r="L19" s="676">
        <f>transport!K54</f>
        <v>0</v>
      </c>
      <c r="M19" s="676">
        <f>transport!L54</f>
        <v>0</v>
      </c>
      <c r="N19" s="676">
        <f>transport!M54</f>
        <v>239.39146083446201</v>
      </c>
      <c r="O19" s="676">
        <f>transport!N54</f>
        <v>0</v>
      </c>
      <c r="P19" s="676">
        <f>transport!O54</f>
        <v>0</v>
      </c>
      <c r="Q19" s="677">
        <f>transport!P54</f>
        <v>0</v>
      </c>
      <c r="R19" s="679">
        <f>SUM(C19:Q19)</f>
        <v>5682.7739158452514</v>
      </c>
      <c r="S19" s="68"/>
    </row>
    <row r="20" spans="1:19" s="445" customFormat="1">
      <c r="A20" s="791" t="s">
        <v>302</v>
      </c>
      <c r="B20" s="796"/>
      <c r="C20" s="676">
        <f>transport!B14</f>
        <v>3.0093304310225935</v>
      </c>
      <c r="D20" s="676">
        <f>transport!C14</f>
        <v>0</v>
      </c>
      <c r="E20" s="676">
        <f>transport!D14</f>
        <v>3.5479732388284022</v>
      </c>
      <c r="F20" s="676">
        <f>transport!E14</f>
        <v>242.10328970977889</v>
      </c>
      <c r="G20" s="676">
        <f>transport!F14</f>
        <v>0</v>
      </c>
      <c r="H20" s="676">
        <f>transport!G14</f>
        <v>54796.243366595801</v>
      </c>
      <c r="I20" s="676">
        <f>transport!H14</f>
        <v>8712.5071161512442</v>
      </c>
      <c r="J20" s="676">
        <f>transport!I14</f>
        <v>0</v>
      </c>
      <c r="K20" s="676">
        <f>transport!J14</f>
        <v>0</v>
      </c>
      <c r="L20" s="676">
        <f>transport!K14</f>
        <v>0</v>
      </c>
      <c r="M20" s="676">
        <f>transport!L14</f>
        <v>0</v>
      </c>
      <c r="N20" s="676">
        <f>transport!M14</f>
        <v>2837.2745817175155</v>
      </c>
      <c r="O20" s="676">
        <f>transport!N14</f>
        <v>0</v>
      </c>
      <c r="P20" s="676">
        <f>transport!O14</f>
        <v>0</v>
      </c>
      <c r="Q20" s="677">
        <f>transport!P14</f>
        <v>0</v>
      </c>
      <c r="R20" s="679">
        <f>SUM(C20:Q20)</f>
        <v>66594.685657844195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30.164875036061463</v>
      </c>
      <c r="D22" s="794">
        <f t="shared" ref="D22:R22" si="1">SUM(D18:D21)</f>
        <v>0</v>
      </c>
      <c r="E22" s="794">
        <f t="shared" si="1"/>
        <v>3.5479732388284022</v>
      </c>
      <c r="F22" s="794">
        <f t="shared" si="1"/>
        <v>242.10328970977889</v>
      </c>
      <c r="G22" s="794">
        <f t="shared" si="1"/>
        <v>0</v>
      </c>
      <c r="H22" s="794">
        <f t="shared" si="1"/>
        <v>60212.47027700155</v>
      </c>
      <c r="I22" s="794">
        <f t="shared" si="1"/>
        <v>8712.5071161512442</v>
      </c>
      <c r="J22" s="794">
        <f t="shared" si="1"/>
        <v>0</v>
      </c>
      <c r="K22" s="794">
        <f t="shared" si="1"/>
        <v>0</v>
      </c>
      <c r="L22" s="794">
        <f t="shared" si="1"/>
        <v>0</v>
      </c>
      <c r="M22" s="794">
        <f t="shared" si="1"/>
        <v>0</v>
      </c>
      <c r="N22" s="794">
        <f t="shared" si="1"/>
        <v>3076.6660425519776</v>
      </c>
      <c r="O22" s="794">
        <f t="shared" si="1"/>
        <v>0</v>
      </c>
      <c r="P22" s="794">
        <f t="shared" si="1"/>
        <v>0</v>
      </c>
      <c r="Q22" s="794">
        <f t="shared" si="1"/>
        <v>0</v>
      </c>
      <c r="R22" s="794">
        <f t="shared" si="1"/>
        <v>72277.459573689441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364.72699999999998</v>
      </c>
      <c r="D24" s="676">
        <f>+landbouw!C8</f>
        <v>0</v>
      </c>
      <c r="E24" s="676">
        <f>+landbouw!D8</f>
        <v>246.39302600000002</v>
      </c>
      <c r="F24" s="676">
        <f>+landbouw!E8</f>
        <v>3.43597271510626</v>
      </c>
      <c r="G24" s="676">
        <f>+landbouw!F8</f>
        <v>1190.2252432609735</v>
      </c>
      <c r="H24" s="676">
        <f>+landbouw!G8</f>
        <v>0</v>
      </c>
      <c r="I24" s="676">
        <f>+landbouw!H8</f>
        <v>0</v>
      </c>
      <c r="J24" s="676">
        <f>+landbouw!I8</f>
        <v>0</v>
      </c>
      <c r="K24" s="676">
        <f>+landbouw!J8</f>
        <v>45.118503931787217</v>
      </c>
      <c r="L24" s="676">
        <f>+landbouw!K8</f>
        <v>0</v>
      </c>
      <c r="M24" s="676">
        <f>+landbouw!L8</f>
        <v>0</v>
      </c>
      <c r="N24" s="676">
        <f>+landbouw!M8</f>
        <v>0</v>
      </c>
      <c r="O24" s="676">
        <f>+landbouw!N8</f>
        <v>0</v>
      </c>
      <c r="P24" s="676">
        <f>+landbouw!O8</f>
        <v>0</v>
      </c>
      <c r="Q24" s="677">
        <f>+landbouw!P8</f>
        <v>0</v>
      </c>
      <c r="R24" s="679">
        <f>SUM(C24:Q24)</f>
        <v>1849.8997459078671</v>
      </c>
      <c r="S24" s="68"/>
    </row>
    <row r="25" spans="1:19" s="445" customFormat="1" ht="15" thickBot="1">
      <c r="A25" s="813" t="s">
        <v>879</v>
      </c>
      <c r="B25" s="979"/>
      <c r="C25" s="980">
        <f>IF(Onbekend_ele_kWh="---",0,Onbekend_ele_kWh)/1000+IF(REST_rest_ele_kWh="---",0,REST_rest_ele_kWh)/1000</f>
        <v>566.99900000000002</v>
      </c>
      <c r="D25" s="980"/>
      <c r="E25" s="980">
        <f>IF(onbekend_gas_kWh="---",0,onbekend_gas_kWh)/1000+IF(REST_rest_gas_kWh="---",0,REST_rest_gas_kWh)/1000</f>
        <v>4916.05</v>
      </c>
      <c r="F25" s="980"/>
      <c r="G25" s="980"/>
      <c r="H25" s="980"/>
      <c r="I25" s="980"/>
      <c r="J25" s="980"/>
      <c r="K25" s="980"/>
      <c r="L25" s="980"/>
      <c r="M25" s="980"/>
      <c r="N25" s="980"/>
      <c r="O25" s="980"/>
      <c r="P25" s="980"/>
      <c r="Q25" s="981"/>
      <c r="R25" s="679">
        <f>SUM(C25:Q25)</f>
        <v>5483.049</v>
      </c>
      <c r="S25" s="68"/>
    </row>
    <row r="26" spans="1:19" s="445" customFormat="1" ht="15.75" thickBot="1">
      <c r="A26" s="682" t="s">
        <v>880</v>
      </c>
      <c r="B26" s="799"/>
      <c r="C26" s="794">
        <f>SUM(C24:C25)</f>
        <v>931.726</v>
      </c>
      <c r="D26" s="794">
        <f t="shared" ref="D26:R26" si="2">SUM(D24:D25)</f>
        <v>0</v>
      </c>
      <c r="E26" s="794">
        <f t="shared" si="2"/>
        <v>5162.4430259999999</v>
      </c>
      <c r="F26" s="794">
        <f t="shared" si="2"/>
        <v>3.43597271510626</v>
      </c>
      <c r="G26" s="794">
        <f t="shared" si="2"/>
        <v>1190.2252432609735</v>
      </c>
      <c r="H26" s="794">
        <f t="shared" si="2"/>
        <v>0</v>
      </c>
      <c r="I26" s="794">
        <f t="shared" si="2"/>
        <v>0</v>
      </c>
      <c r="J26" s="794">
        <f t="shared" si="2"/>
        <v>0</v>
      </c>
      <c r="K26" s="794">
        <f t="shared" si="2"/>
        <v>45.118503931787217</v>
      </c>
      <c r="L26" s="794">
        <f t="shared" si="2"/>
        <v>0</v>
      </c>
      <c r="M26" s="794">
        <f t="shared" si="2"/>
        <v>0</v>
      </c>
      <c r="N26" s="794">
        <f t="shared" si="2"/>
        <v>0</v>
      </c>
      <c r="O26" s="794">
        <f t="shared" si="2"/>
        <v>0</v>
      </c>
      <c r="P26" s="794">
        <f t="shared" si="2"/>
        <v>0</v>
      </c>
      <c r="Q26" s="794">
        <f t="shared" si="2"/>
        <v>0</v>
      </c>
      <c r="R26" s="794">
        <f t="shared" si="2"/>
        <v>7332.9487459078673</v>
      </c>
      <c r="S26" s="68"/>
    </row>
    <row r="27" spans="1:19" s="445" customFormat="1" ht="17.25" thickTop="1" thickBot="1">
      <c r="A27" s="683" t="s">
        <v>115</v>
      </c>
      <c r="B27" s="786"/>
      <c r="C27" s="684">
        <f ca="1">C22+C16+C26</f>
        <v>48730.462169585706</v>
      </c>
      <c r="D27" s="684">
        <f t="shared" ref="D27:R27" ca="1" si="3">D22+D16+D26</f>
        <v>0</v>
      </c>
      <c r="E27" s="684">
        <f t="shared" ca="1" si="3"/>
        <v>91002.437013238829</v>
      </c>
      <c r="F27" s="684">
        <f t="shared" si="3"/>
        <v>1077.4830656219901</v>
      </c>
      <c r="G27" s="684">
        <f t="shared" ca="1" si="3"/>
        <v>27513.948686856929</v>
      </c>
      <c r="H27" s="684">
        <f t="shared" si="3"/>
        <v>60212.47027700155</v>
      </c>
      <c r="I27" s="684">
        <f t="shared" si="3"/>
        <v>8712.5071161512442</v>
      </c>
      <c r="J27" s="684">
        <f t="shared" si="3"/>
        <v>0</v>
      </c>
      <c r="K27" s="684">
        <f t="shared" si="3"/>
        <v>457.00520105797443</v>
      </c>
      <c r="L27" s="684">
        <f t="shared" si="3"/>
        <v>0</v>
      </c>
      <c r="M27" s="684">
        <f t="shared" ca="1" si="3"/>
        <v>0</v>
      </c>
      <c r="N27" s="684">
        <f t="shared" si="3"/>
        <v>3076.6660425519776</v>
      </c>
      <c r="O27" s="684">
        <f t="shared" ca="1" si="3"/>
        <v>7041.6492146958544</v>
      </c>
      <c r="P27" s="684">
        <f t="shared" si="3"/>
        <v>21.88666666666667</v>
      </c>
      <c r="Q27" s="684">
        <f t="shared" si="3"/>
        <v>114.4</v>
      </c>
      <c r="R27" s="684">
        <f t="shared" ca="1" si="3"/>
        <v>247960.91545342869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5219.7761216389545</v>
      </c>
      <c r="D40" s="676">
        <f ca="1">tertiair!C20</f>
        <v>0</v>
      </c>
      <c r="E40" s="676">
        <f ca="1">tertiair!D20</f>
        <v>4723.6554627679998</v>
      </c>
      <c r="F40" s="676">
        <f>tertiair!E20</f>
        <v>20.03034036735529</v>
      </c>
      <c r="G40" s="676">
        <f ca="1">tertiair!F20</f>
        <v>969.2985630214182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10932.760487795727</v>
      </c>
    </row>
    <row r="41" spans="1:18">
      <c r="A41" s="804" t="s">
        <v>220</v>
      </c>
      <c r="B41" s="811"/>
      <c r="C41" s="676">
        <f ca="1">huishoudens!B12</f>
        <v>4640.544779019785</v>
      </c>
      <c r="D41" s="676">
        <f ca="1">huishoudens!C12</f>
        <v>0</v>
      </c>
      <c r="E41" s="676">
        <f>huishoudens!D12</f>
        <v>12380.969512560001</v>
      </c>
      <c r="F41" s="676">
        <f>huishoudens!E12</f>
        <v>167.08917552890941</v>
      </c>
      <c r="G41" s="676">
        <f>huishoudens!F12</f>
        <v>5991.6962494922936</v>
      </c>
      <c r="H41" s="676">
        <f>huishoudens!G12</f>
        <v>0</v>
      </c>
      <c r="I41" s="676">
        <f>huishoudens!H12</f>
        <v>0</v>
      </c>
      <c r="J41" s="676">
        <f>huishoudens!I12</f>
        <v>0</v>
      </c>
      <c r="K41" s="676">
        <f>huishoudens!J12</f>
        <v>144.14195953395574</v>
      </c>
      <c r="L41" s="676">
        <f>huishoudens!K12</f>
        <v>0</v>
      </c>
      <c r="M41" s="676">
        <f>huishoudens!L12</f>
        <v>0</v>
      </c>
      <c r="N41" s="676">
        <f>huishoudens!M12</f>
        <v>0</v>
      </c>
      <c r="O41" s="676">
        <f>huishoudens!N12</f>
        <v>0</v>
      </c>
      <c r="P41" s="676">
        <f>huishoudens!O12</f>
        <v>0</v>
      </c>
      <c r="Q41" s="751">
        <f>huishoudens!P12</f>
        <v>0</v>
      </c>
      <c r="R41" s="832">
        <f t="shared" ca="1" si="4"/>
        <v>23324.441676134942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186.43483256332399</v>
      </c>
      <c r="D43" s="676">
        <f ca="1">industrie!C22</f>
        <v>0</v>
      </c>
      <c r="E43" s="676">
        <f>industrie!D22</f>
        <v>234.3371195</v>
      </c>
      <c r="F43" s="676">
        <f>industrie!E22</f>
        <v>1.7317274294781084</v>
      </c>
      <c r="G43" s="676">
        <f>industrie!F22</f>
        <v>67.43934692640714</v>
      </c>
      <c r="H43" s="676">
        <f>industrie!G22</f>
        <v>0</v>
      </c>
      <c r="I43" s="676">
        <f>industrie!H22</f>
        <v>0</v>
      </c>
      <c r="J43" s="676">
        <f>industrie!I22</f>
        <v>0</v>
      </c>
      <c r="K43" s="676">
        <f>industrie!J22</f>
        <v>1.6659312487145392</v>
      </c>
      <c r="L43" s="676">
        <f>industrie!K22</f>
        <v>0</v>
      </c>
      <c r="M43" s="676">
        <f>industrie!L22</f>
        <v>0</v>
      </c>
      <c r="N43" s="676">
        <f>industrie!M22</f>
        <v>0</v>
      </c>
      <c r="O43" s="676">
        <f>industrie!N22</f>
        <v>0</v>
      </c>
      <c r="P43" s="676">
        <f>industrie!O22</f>
        <v>0</v>
      </c>
      <c r="Q43" s="751">
        <f>industrie!P22</f>
        <v>0</v>
      </c>
      <c r="R43" s="831">
        <f t="shared" ca="1" si="4"/>
        <v>491.60895766792373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10046.755733222062</v>
      </c>
      <c r="D46" s="709">
        <f t="shared" ref="D46:Q46" ca="1" si="5">SUM(D39:D45)</f>
        <v>0</v>
      </c>
      <c r="E46" s="709">
        <f t="shared" ca="1" si="5"/>
        <v>17338.962094827999</v>
      </c>
      <c r="F46" s="709">
        <f t="shared" si="5"/>
        <v>188.85124332574279</v>
      </c>
      <c r="G46" s="709">
        <f t="shared" ca="1" si="5"/>
        <v>7028.4341594401185</v>
      </c>
      <c r="H46" s="709">
        <f t="shared" si="5"/>
        <v>0</v>
      </c>
      <c r="I46" s="709">
        <f t="shared" si="5"/>
        <v>0</v>
      </c>
      <c r="J46" s="709">
        <f t="shared" si="5"/>
        <v>0</v>
      </c>
      <c r="K46" s="709">
        <f t="shared" si="5"/>
        <v>145.80789078267028</v>
      </c>
      <c r="L46" s="709">
        <f t="shared" si="5"/>
        <v>0</v>
      </c>
      <c r="M46" s="709">
        <f t="shared" ca="1" si="5"/>
        <v>0</v>
      </c>
      <c r="N46" s="709">
        <f t="shared" si="5"/>
        <v>0</v>
      </c>
      <c r="O46" s="709">
        <f t="shared" ca="1" si="5"/>
        <v>0</v>
      </c>
      <c r="P46" s="709">
        <f t="shared" si="5"/>
        <v>0</v>
      </c>
      <c r="Q46" s="709">
        <f t="shared" si="5"/>
        <v>0</v>
      </c>
      <c r="R46" s="709">
        <f ca="1">SUM(R39:R45)</f>
        <v>34748.811121598592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5.7113938318806463</v>
      </c>
      <c r="D49" s="676">
        <f ca="1">transport!C58</f>
        <v>0</v>
      </c>
      <c r="E49" s="676">
        <f>transport!D58</f>
        <v>0</v>
      </c>
      <c r="F49" s="676">
        <f>transport!E58</f>
        <v>0</v>
      </c>
      <c r="G49" s="676">
        <f>transport!F58</f>
        <v>0</v>
      </c>
      <c r="H49" s="676">
        <f>transport!G58</f>
        <v>1446.1325850783355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1451.8439789102163</v>
      </c>
    </row>
    <row r="50" spans="1:18">
      <c r="A50" s="807" t="s">
        <v>302</v>
      </c>
      <c r="B50" s="817"/>
      <c r="C50" s="986">
        <f ca="1">transport!B18</f>
        <v>0.63292677469057024</v>
      </c>
      <c r="D50" s="986">
        <f>transport!C18</f>
        <v>0</v>
      </c>
      <c r="E50" s="986">
        <f>transport!D18</f>
        <v>0.71669059424333725</v>
      </c>
      <c r="F50" s="986">
        <f>transport!E18</f>
        <v>54.957446764119808</v>
      </c>
      <c r="G50" s="986">
        <f>transport!F18</f>
        <v>0</v>
      </c>
      <c r="H50" s="986">
        <f>transport!G18</f>
        <v>14630.59697888108</v>
      </c>
      <c r="I50" s="986">
        <f>transport!H18</f>
        <v>2169.4142719216597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16856.318314935794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6.3443206065712161</v>
      </c>
      <c r="D52" s="709">
        <f t="shared" ref="D52:Q52" ca="1" si="6">SUM(D48:D51)</f>
        <v>0</v>
      </c>
      <c r="E52" s="709">
        <f t="shared" si="6"/>
        <v>0.71669059424333725</v>
      </c>
      <c r="F52" s="709">
        <f t="shared" si="6"/>
        <v>54.957446764119808</v>
      </c>
      <c r="G52" s="709">
        <f t="shared" si="6"/>
        <v>0</v>
      </c>
      <c r="H52" s="709">
        <f t="shared" si="6"/>
        <v>16076.729563959416</v>
      </c>
      <c r="I52" s="709">
        <f t="shared" si="6"/>
        <v>2169.4142719216597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18308.16229384601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76.709915725048688</v>
      </c>
      <c r="D54" s="986">
        <f ca="1">+landbouw!C12</f>
        <v>0</v>
      </c>
      <c r="E54" s="986">
        <f>+landbouw!D12</f>
        <v>49.771391252000008</v>
      </c>
      <c r="F54" s="986">
        <f>+landbouw!E12</f>
        <v>0.77996580632912105</v>
      </c>
      <c r="G54" s="986">
        <f>+landbouw!F12</f>
        <v>317.79013995067993</v>
      </c>
      <c r="H54" s="986">
        <f>+landbouw!G12</f>
        <v>0</v>
      </c>
      <c r="I54" s="986">
        <f>+landbouw!H12</f>
        <v>0</v>
      </c>
      <c r="J54" s="986">
        <f>+landbouw!I12</f>
        <v>0</v>
      </c>
      <c r="K54" s="986">
        <f>+landbouw!J12</f>
        <v>15.971950391852674</v>
      </c>
      <c r="L54" s="986">
        <f>+landbouw!K12</f>
        <v>0</v>
      </c>
      <c r="M54" s="986">
        <f>+landbouw!L12</f>
        <v>0</v>
      </c>
      <c r="N54" s="986">
        <f>+landbouw!M12</f>
        <v>0</v>
      </c>
      <c r="O54" s="986">
        <f>+landbouw!N12</f>
        <v>0</v>
      </c>
      <c r="P54" s="986">
        <f>+landbouw!O12</f>
        <v>0</v>
      </c>
      <c r="Q54" s="987">
        <f>+landbouw!P12</f>
        <v>0</v>
      </c>
      <c r="R54" s="708">
        <f ca="1">SUM(C54:Q54)</f>
        <v>461.02336312591041</v>
      </c>
    </row>
    <row r="55" spans="1:18" ht="15" thickBot="1">
      <c r="A55" s="807" t="s">
        <v>879</v>
      </c>
      <c r="B55" s="817"/>
      <c r="C55" s="986">
        <f ca="1">C25*'EF ele_warmte'!B12</f>
        <v>119.25205840584023</v>
      </c>
      <c r="D55" s="986"/>
      <c r="E55" s="986">
        <f>E25*EF_CO2_aardgas</f>
        <v>993.04210000000012</v>
      </c>
      <c r="F55" s="986"/>
      <c r="G55" s="986"/>
      <c r="H55" s="986"/>
      <c r="I55" s="986"/>
      <c r="J55" s="986"/>
      <c r="K55" s="986"/>
      <c r="L55" s="986"/>
      <c r="M55" s="986"/>
      <c r="N55" s="986"/>
      <c r="O55" s="986"/>
      <c r="P55" s="986"/>
      <c r="Q55" s="987"/>
      <c r="R55" s="708">
        <f ca="1">SUM(C55:Q55)</f>
        <v>1112.2941584058403</v>
      </c>
    </row>
    <row r="56" spans="1:18" ht="15.75" thickBot="1">
      <c r="A56" s="805" t="s">
        <v>880</v>
      </c>
      <c r="B56" s="818"/>
      <c r="C56" s="709">
        <f ca="1">SUM(C54:C55)</f>
        <v>195.9619741308889</v>
      </c>
      <c r="D56" s="709">
        <f t="shared" ref="D56:Q56" ca="1" si="7">SUM(D54:D55)</f>
        <v>0</v>
      </c>
      <c r="E56" s="709">
        <f t="shared" si="7"/>
        <v>1042.8134912520002</v>
      </c>
      <c r="F56" s="709">
        <f t="shared" si="7"/>
        <v>0.77996580632912105</v>
      </c>
      <c r="G56" s="709">
        <f t="shared" si="7"/>
        <v>317.79013995067993</v>
      </c>
      <c r="H56" s="709">
        <f t="shared" si="7"/>
        <v>0</v>
      </c>
      <c r="I56" s="709">
        <f t="shared" si="7"/>
        <v>0</v>
      </c>
      <c r="J56" s="709">
        <f t="shared" si="7"/>
        <v>0</v>
      </c>
      <c r="K56" s="709">
        <f t="shared" si="7"/>
        <v>15.971950391852674</v>
      </c>
      <c r="L56" s="709">
        <f t="shared" si="7"/>
        <v>0</v>
      </c>
      <c r="M56" s="709">
        <f t="shared" si="7"/>
        <v>0</v>
      </c>
      <c r="N56" s="709">
        <f t="shared" si="7"/>
        <v>0</v>
      </c>
      <c r="O56" s="709">
        <f t="shared" si="7"/>
        <v>0</v>
      </c>
      <c r="P56" s="709">
        <f t="shared" si="7"/>
        <v>0</v>
      </c>
      <c r="Q56" s="710">
        <f t="shared" si="7"/>
        <v>0</v>
      </c>
      <c r="R56" s="711">
        <f ca="1">SUM(R54:R55)</f>
        <v>1573.3175215317508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10249.062027959522</v>
      </c>
      <c r="D61" s="717">
        <f t="shared" ref="D61:Q61" ca="1" si="8">D46+D52+D56</f>
        <v>0</v>
      </c>
      <c r="E61" s="717">
        <f t="shared" ca="1" si="8"/>
        <v>18382.492276674242</v>
      </c>
      <c r="F61" s="717">
        <f t="shared" si="8"/>
        <v>244.58865589619171</v>
      </c>
      <c r="G61" s="717">
        <f t="shared" ca="1" si="8"/>
        <v>7346.2242993907985</v>
      </c>
      <c r="H61" s="717">
        <f t="shared" si="8"/>
        <v>16076.729563959416</v>
      </c>
      <c r="I61" s="717">
        <f t="shared" si="8"/>
        <v>2169.4142719216597</v>
      </c>
      <c r="J61" s="717">
        <f t="shared" si="8"/>
        <v>0</v>
      </c>
      <c r="K61" s="717">
        <f t="shared" si="8"/>
        <v>161.77984117452297</v>
      </c>
      <c r="L61" s="717">
        <f t="shared" si="8"/>
        <v>0</v>
      </c>
      <c r="M61" s="717">
        <f t="shared" ca="1" si="8"/>
        <v>0</v>
      </c>
      <c r="N61" s="717">
        <f t="shared" si="8"/>
        <v>0</v>
      </c>
      <c r="O61" s="717">
        <f t="shared" ca="1" si="8"/>
        <v>0</v>
      </c>
      <c r="P61" s="717">
        <f t="shared" si="8"/>
        <v>0</v>
      </c>
      <c r="Q61" s="717">
        <f t="shared" si="8"/>
        <v>0</v>
      </c>
      <c r="R61" s="717">
        <f ca="1">R46+R52+R56</f>
        <v>54630.290936976358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0.21032146160017956</v>
      </c>
      <c r="D63" s="761">
        <f t="shared" ca="1" si="9"/>
        <v>0</v>
      </c>
      <c r="E63" s="988">
        <f t="shared" ca="1" si="9"/>
        <v>0.20199999999999999</v>
      </c>
      <c r="F63" s="761">
        <f t="shared" si="9"/>
        <v>0.22699999999999995</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2354.6158892258645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2354.6158892258645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22064.057294549642</v>
      </c>
      <c r="C4" s="449">
        <f>huishoudens!C8</f>
        <v>0</v>
      </c>
      <c r="D4" s="449">
        <f>huishoudens!D8</f>
        <v>61291.92828</v>
      </c>
      <c r="E4" s="449">
        <f>huishoudens!E8</f>
        <v>736.07566312294887</v>
      </c>
      <c r="F4" s="449">
        <f>huishoudens!F8</f>
        <v>22440.809923192111</v>
      </c>
      <c r="G4" s="449">
        <f>huishoudens!G8</f>
        <v>0</v>
      </c>
      <c r="H4" s="449">
        <f>huishoudens!H8</f>
        <v>0</v>
      </c>
      <c r="I4" s="449">
        <f>huishoudens!I8</f>
        <v>0</v>
      </c>
      <c r="J4" s="449">
        <f>huishoudens!J8</f>
        <v>407.1806766495925</v>
      </c>
      <c r="K4" s="449">
        <f>huishoudens!K8</f>
        <v>0</v>
      </c>
      <c r="L4" s="449">
        <f>huishoudens!L8</f>
        <v>0</v>
      </c>
      <c r="M4" s="449">
        <f>huishoudens!M8</f>
        <v>0</v>
      </c>
      <c r="N4" s="449">
        <f>huishoudens!N8</f>
        <v>6330.9822316573982</v>
      </c>
      <c r="O4" s="449">
        <f>huishoudens!O8</f>
        <v>21.88666666666667</v>
      </c>
      <c r="P4" s="450">
        <f>huishoudens!P8</f>
        <v>95.333333333333343</v>
      </c>
      <c r="Q4" s="451">
        <f>SUM(B4:P4)</f>
        <v>113388.25406917169</v>
      </c>
    </row>
    <row r="5" spans="1:17">
      <c r="A5" s="448" t="s">
        <v>155</v>
      </c>
      <c r="B5" s="449">
        <f ca="1">tertiair!B16</f>
        <v>23861.596999999998</v>
      </c>
      <c r="C5" s="449">
        <f ca="1">tertiair!C16</f>
        <v>0</v>
      </c>
      <c r="D5" s="449">
        <f ca="1">tertiair!D16</f>
        <v>23384.432983999999</v>
      </c>
      <c r="E5" s="449">
        <f>tertiair!E16</f>
        <v>88.239384878217137</v>
      </c>
      <c r="F5" s="449">
        <f ca="1">tertiair!F16</f>
        <v>3630.3316967094311</v>
      </c>
      <c r="G5" s="449">
        <f>tertiair!G16</f>
        <v>0</v>
      </c>
      <c r="H5" s="449">
        <f>tertiair!H16</f>
        <v>0</v>
      </c>
      <c r="I5" s="449">
        <f>tertiair!I16</f>
        <v>0</v>
      </c>
      <c r="J5" s="449">
        <f>tertiair!J16</f>
        <v>0</v>
      </c>
      <c r="K5" s="449">
        <f>tertiair!K16</f>
        <v>0</v>
      </c>
      <c r="L5" s="449">
        <f ca="1">tertiair!L16</f>
        <v>0</v>
      </c>
      <c r="M5" s="449">
        <f>tertiair!M16</f>
        <v>0</v>
      </c>
      <c r="N5" s="449">
        <f ca="1">tertiair!N16</f>
        <v>687.39132718254587</v>
      </c>
      <c r="O5" s="449">
        <f>tertiair!O16</f>
        <v>0</v>
      </c>
      <c r="P5" s="450">
        <f>tertiair!P16</f>
        <v>19.066666666666666</v>
      </c>
      <c r="Q5" s="448">
        <f t="shared" ref="Q5:Q14" ca="1" si="0">SUM(B5:P5)</f>
        <v>51671.059059436848</v>
      </c>
    </row>
    <row r="6" spans="1:17">
      <c r="A6" s="448" t="s">
        <v>193</v>
      </c>
      <c r="B6" s="449">
        <f>'openbare verlichting'!B8</f>
        <v>956.48900000000003</v>
      </c>
      <c r="C6" s="449"/>
      <c r="D6" s="449"/>
      <c r="E6" s="449"/>
      <c r="F6" s="449"/>
      <c r="G6" s="449"/>
      <c r="H6" s="449"/>
      <c r="I6" s="449"/>
      <c r="J6" s="449"/>
      <c r="K6" s="449"/>
      <c r="L6" s="449"/>
      <c r="M6" s="449"/>
      <c r="N6" s="449"/>
      <c r="O6" s="449"/>
      <c r="P6" s="450"/>
      <c r="Q6" s="448">
        <f t="shared" si="0"/>
        <v>956.48900000000003</v>
      </c>
    </row>
    <row r="7" spans="1:17">
      <c r="A7" s="448" t="s">
        <v>111</v>
      </c>
      <c r="B7" s="449">
        <f>landbouw!B8</f>
        <v>364.72699999999998</v>
      </c>
      <c r="C7" s="449">
        <f>landbouw!C8</f>
        <v>0</v>
      </c>
      <c r="D7" s="449">
        <f>landbouw!D8</f>
        <v>246.39302600000002</v>
      </c>
      <c r="E7" s="449">
        <f>landbouw!E8</f>
        <v>3.43597271510626</v>
      </c>
      <c r="F7" s="449">
        <f>landbouw!F8</f>
        <v>1190.2252432609735</v>
      </c>
      <c r="G7" s="449">
        <f>landbouw!G8</f>
        <v>0</v>
      </c>
      <c r="H7" s="449">
        <f>landbouw!H8</f>
        <v>0</v>
      </c>
      <c r="I7" s="449">
        <f>landbouw!I8</f>
        <v>0</v>
      </c>
      <c r="J7" s="449">
        <f>landbouw!J8</f>
        <v>45.118503931787217</v>
      </c>
      <c r="K7" s="449">
        <f>landbouw!K8</f>
        <v>0</v>
      </c>
      <c r="L7" s="449">
        <f>landbouw!L8</f>
        <v>0</v>
      </c>
      <c r="M7" s="449">
        <f>landbouw!M8</f>
        <v>0</v>
      </c>
      <c r="N7" s="449">
        <f>landbouw!N8</f>
        <v>0</v>
      </c>
      <c r="O7" s="449">
        <f>landbouw!O8</f>
        <v>0</v>
      </c>
      <c r="P7" s="450">
        <f>landbouw!P8</f>
        <v>0</v>
      </c>
      <c r="Q7" s="448">
        <f t="shared" si="0"/>
        <v>1849.8997459078671</v>
      </c>
    </row>
    <row r="8" spans="1:17">
      <c r="A8" s="448" t="s">
        <v>671</v>
      </c>
      <c r="B8" s="449">
        <f>industrie!B18</f>
        <v>886.428</v>
      </c>
      <c r="C8" s="449">
        <f>industrie!C18</f>
        <v>0</v>
      </c>
      <c r="D8" s="449">
        <f>industrie!D18</f>
        <v>1160.08475</v>
      </c>
      <c r="E8" s="449">
        <f>industrie!E18</f>
        <v>7.6287551959388029</v>
      </c>
      <c r="F8" s="449">
        <f>industrie!F18</f>
        <v>252.58182369440877</v>
      </c>
      <c r="G8" s="449">
        <f>industrie!G18</f>
        <v>0</v>
      </c>
      <c r="H8" s="449">
        <f>industrie!H18</f>
        <v>0</v>
      </c>
      <c r="I8" s="449">
        <f>industrie!I18</f>
        <v>0</v>
      </c>
      <c r="J8" s="449">
        <f>industrie!J18</f>
        <v>4.7060204765947438</v>
      </c>
      <c r="K8" s="449">
        <f>industrie!K18</f>
        <v>0</v>
      </c>
      <c r="L8" s="449">
        <f>industrie!L18</f>
        <v>0</v>
      </c>
      <c r="M8" s="449">
        <f>industrie!M18</f>
        <v>0</v>
      </c>
      <c r="N8" s="449">
        <f>industrie!N18</f>
        <v>23.275655855910593</v>
      </c>
      <c r="O8" s="449">
        <f>industrie!O18</f>
        <v>0</v>
      </c>
      <c r="P8" s="450">
        <f>industrie!P18</f>
        <v>0</v>
      </c>
      <c r="Q8" s="448">
        <f t="shared" si="0"/>
        <v>2334.7050052228528</v>
      </c>
    </row>
    <row r="9" spans="1:17" s="454" customFormat="1">
      <c r="A9" s="452" t="s">
        <v>568</v>
      </c>
      <c r="B9" s="453">
        <f>transport!B14</f>
        <v>3.0093304310225935</v>
      </c>
      <c r="C9" s="453">
        <f>transport!C14</f>
        <v>0</v>
      </c>
      <c r="D9" s="453">
        <f>transport!D14</f>
        <v>3.5479732388284022</v>
      </c>
      <c r="E9" s="453">
        <f>transport!E14</f>
        <v>242.10328970977889</v>
      </c>
      <c r="F9" s="453">
        <f>transport!F14</f>
        <v>0</v>
      </c>
      <c r="G9" s="453">
        <f>transport!G14</f>
        <v>54796.243366595801</v>
      </c>
      <c r="H9" s="453">
        <f>transport!H14</f>
        <v>8712.5071161512442</v>
      </c>
      <c r="I9" s="453">
        <f>transport!I14</f>
        <v>0</v>
      </c>
      <c r="J9" s="453">
        <f>transport!J14</f>
        <v>0</v>
      </c>
      <c r="K9" s="453">
        <f>transport!K14</f>
        <v>0</v>
      </c>
      <c r="L9" s="453">
        <f>transport!L14</f>
        <v>0</v>
      </c>
      <c r="M9" s="453">
        <f>transport!M14</f>
        <v>2837.2745817175155</v>
      </c>
      <c r="N9" s="453">
        <f>transport!N14</f>
        <v>0</v>
      </c>
      <c r="O9" s="453">
        <f>transport!O14</f>
        <v>0</v>
      </c>
      <c r="P9" s="453">
        <f>transport!P14</f>
        <v>0</v>
      </c>
      <c r="Q9" s="452">
        <f>SUM(B9:P9)</f>
        <v>66594.685657844195</v>
      </c>
    </row>
    <row r="10" spans="1:17">
      <c r="A10" s="448" t="s">
        <v>558</v>
      </c>
      <c r="B10" s="449">
        <f>transport!B54</f>
        <v>27.15554460503887</v>
      </c>
      <c r="C10" s="449">
        <f>transport!C54</f>
        <v>0</v>
      </c>
      <c r="D10" s="449">
        <f>transport!D54</f>
        <v>0</v>
      </c>
      <c r="E10" s="449">
        <f>transport!E54</f>
        <v>0</v>
      </c>
      <c r="F10" s="449">
        <f>transport!F54</f>
        <v>0</v>
      </c>
      <c r="G10" s="449">
        <f>transport!G54</f>
        <v>5416.2269104057505</v>
      </c>
      <c r="H10" s="449">
        <f>transport!H54</f>
        <v>0</v>
      </c>
      <c r="I10" s="449">
        <f>transport!I54</f>
        <v>0</v>
      </c>
      <c r="J10" s="449">
        <f>transport!J54</f>
        <v>0</v>
      </c>
      <c r="K10" s="449">
        <f>transport!K54</f>
        <v>0</v>
      </c>
      <c r="L10" s="449">
        <f>transport!L54</f>
        <v>0</v>
      </c>
      <c r="M10" s="449">
        <f>transport!M54</f>
        <v>239.39146083446201</v>
      </c>
      <c r="N10" s="449">
        <f>transport!N54</f>
        <v>0</v>
      </c>
      <c r="O10" s="449">
        <f>transport!O54</f>
        <v>0</v>
      </c>
      <c r="P10" s="450">
        <f>transport!P54</f>
        <v>0</v>
      </c>
      <c r="Q10" s="448">
        <f t="shared" si="0"/>
        <v>5682.7739158452514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566.99900000000002</v>
      </c>
      <c r="C14" s="456"/>
      <c r="D14" s="456">
        <f>'SEAP template'!E25</f>
        <v>4916.05</v>
      </c>
      <c r="E14" s="456"/>
      <c r="F14" s="456"/>
      <c r="G14" s="456"/>
      <c r="H14" s="456"/>
      <c r="I14" s="456"/>
      <c r="J14" s="456"/>
      <c r="K14" s="456"/>
      <c r="L14" s="456"/>
      <c r="M14" s="456"/>
      <c r="N14" s="456"/>
      <c r="O14" s="456"/>
      <c r="P14" s="457"/>
      <c r="Q14" s="448">
        <f t="shared" si="0"/>
        <v>5483.049</v>
      </c>
    </row>
    <row r="15" spans="1:17" s="461" customFormat="1">
      <c r="A15" s="458" t="s">
        <v>562</v>
      </c>
      <c r="B15" s="459">
        <f ca="1">SUM(B4:B14)</f>
        <v>48730.462169585706</v>
      </c>
      <c r="C15" s="459">
        <f t="shared" ref="C15:Q15" ca="1" si="1">SUM(C4:C14)</f>
        <v>0</v>
      </c>
      <c r="D15" s="459">
        <f t="shared" ca="1" si="1"/>
        <v>91002.437013238843</v>
      </c>
      <c r="E15" s="459">
        <f t="shared" si="1"/>
        <v>1077.4830656219899</v>
      </c>
      <c r="F15" s="459">
        <f t="shared" ca="1" si="1"/>
        <v>27513.948686856929</v>
      </c>
      <c r="G15" s="459">
        <f t="shared" si="1"/>
        <v>60212.47027700155</v>
      </c>
      <c r="H15" s="459">
        <f t="shared" si="1"/>
        <v>8712.5071161512442</v>
      </c>
      <c r="I15" s="459">
        <f t="shared" si="1"/>
        <v>0</v>
      </c>
      <c r="J15" s="459">
        <f t="shared" si="1"/>
        <v>457.00520105797443</v>
      </c>
      <c r="K15" s="459">
        <f t="shared" si="1"/>
        <v>0</v>
      </c>
      <c r="L15" s="459">
        <f t="shared" ca="1" si="1"/>
        <v>0</v>
      </c>
      <c r="M15" s="459">
        <f t="shared" si="1"/>
        <v>3076.6660425519776</v>
      </c>
      <c r="N15" s="459">
        <f t="shared" ca="1" si="1"/>
        <v>7041.6492146958544</v>
      </c>
      <c r="O15" s="459">
        <f t="shared" si="1"/>
        <v>21.88666666666667</v>
      </c>
      <c r="P15" s="459">
        <f t="shared" si="1"/>
        <v>114.4</v>
      </c>
      <c r="Q15" s="459">
        <f t="shared" ca="1" si="1"/>
        <v>247960.91545342869</v>
      </c>
    </row>
    <row r="17" spans="1:17">
      <c r="A17" s="462" t="s">
        <v>563</v>
      </c>
      <c r="B17" s="766">
        <f ca="1">huishoudens!B10</f>
        <v>0.21032146160017959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4640.544779019785</v>
      </c>
      <c r="C22" s="449">
        <f t="shared" ref="C22:C32" ca="1" si="3">C4*$C$17</f>
        <v>0</v>
      </c>
      <c r="D22" s="449">
        <f t="shared" ref="D22:D32" si="4">D4*$D$17</f>
        <v>12380.969512560001</v>
      </c>
      <c r="E22" s="449">
        <f t="shared" ref="E22:E32" si="5">E4*$E$17</f>
        <v>167.08917552890941</v>
      </c>
      <c r="F22" s="449">
        <f t="shared" ref="F22:F32" si="6">F4*$F$17</f>
        <v>5991.6962494922936</v>
      </c>
      <c r="G22" s="449">
        <f t="shared" ref="G22:G32" si="7">G4*$G$17</f>
        <v>0</v>
      </c>
      <c r="H22" s="449">
        <f t="shared" ref="H22:H32" si="8">H4*$H$17</f>
        <v>0</v>
      </c>
      <c r="I22" s="449">
        <f t="shared" ref="I22:I32" si="9">I4*$I$17</f>
        <v>0</v>
      </c>
      <c r="J22" s="449">
        <f t="shared" ref="J22:J32" si="10">J4*$J$17</f>
        <v>144.14195953395574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23324.441676134942</v>
      </c>
    </row>
    <row r="23" spans="1:17">
      <c r="A23" s="448" t="s">
        <v>155</v>
      </c>
      <c r="B23" s="449">
        <f t="shared" ca="1" si="2"/>
        <v>5018.6059571544602</v>
      </c>
      <c r="C23" s="449">
        <f t="shared" ca="1" si="3"/>
        <v>0</v>
      </c>
      <c r="D23" s="449">
        <f t="shared" ca="1" si="4"/>
        <v>4723.6554627679998</v>
      </c>
      <c r="E23" s="449">
        <f t="shared" si="5"/>
        <v>20.03034036735529</v>
      </c>
      <c r="F23" s="449">
        <f t="shared" ca="1" si="6"/>
        <v>969.2985630214182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10731.590323311233</v>
      </c>
    </row>
    <row r="24" spans="1:17">
      <c r="A24" s="448" t="s">
        <v>193</v>
      </c>
      <c r="B24" s="449">
        <f t="shared" ca="1" si="2"/>
        <v>201.17016448449419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201.17016448449419</v>
      </c>
    </row>
    <row r="25" spans="1:17">
      <c r="A25" s="448" t="s">
        <v>111</v>
      </c>
      <c r="B25" s="449">
        <f t="shared" ca="1" si="2"/>
        <v>76.709915725048688</v>
      </c>
      <c r="C25" s="449">
        <f t="shared" ca="1" si="3"/>
        <v>0</v>
      </c>
      <c r="D25" s="449">
        <f t="shared" si="4"/>
        <v>49.771391252000008</v>
      </c>
      <c r="E25" s="449">
        <f t="shared" si="5"/>
        <v>0.77996580632912105</v>
      </c>
      <c r="F25" s="449">
        <f t="shared" si="6"/>
        <v>317.79013995067993</v>
      </c>
      <c r="G25" s="449">
        <f t="shared" si="7"/>
        <v>0</v>
      </c>
      <c r="H25" s="449">
        <f t="shared" si="8"/>
        <v>0</v>
      </c>
      <c r="I25" s="449">
        <f t="shared" si="9"/>
        <v>0</v>
      </c>
      <c r="J25" s="449">
        <f t="shared" si="10"/>
        <v>15.971950391852674</v>
      </c>
      <c r="K25" s="449">
        <f t="shared" si="11"/>
        <v>0</v>
      </c>
      <c r="L25" s="449">
        <f t="shared" si="12"/>
        <v>0</v>
      </c>
      <c r="M25" s="449">
        <f t="shared" si="13"/>
        <v>0</v>
      </c>
      <c r="N25" s="449">
        <f t="shared" si="14"/>
        <v>0</v>
      </c>
      <c r="O25" s="449">
        <f t="shared" si="15"/>
        <v>0</v>
      </c>
      <c r="P25" s="450">
        <f t="shared" si="16"/>
        <v>0</v>
      </c>
      <c r="Q25" s="448">
        <f t="shared" ca="1" si="17"/>
        <v>461.02336312591041</v>
      </c>
    </row>
    <row r="26" spans="1:17">
      <c r="A26" s="448" t="s">
        <v>671</v>
      </c>
      <c r="B26" s="449">
        <f t="shared" ca="1" si="2"/>
        <v>186.43483256332399</v>
      </c>
      <c r="C26" s="449">
        <f t="shared" ca="1" si="3"/>
        <v>0</v>
      </c>
      <c r="D26" s="449">
        <f t="shared" si="4"/>
        <v>234.3371195</v>
      </c>
      <c r="E26" s="449">
        <f t="shared" si="5"/>
        <v>1.7317274294781084</v>
      </c>
      <c r="F26" s="449">
        <f t="shared" si="6"/>
        <v>67.43934692640714</v>
      </c>
      <c r="G26" s="449">
        <f t="shared" si="7"/>
        <v>0</v>
      </c>
      <c r="H26" s="449">
        <f t="shared" si="8"/>
        <v>0</v>
      </c>
      <c r="I26" s="449">
        <f t="shared" si="9"/>
        <v>0</v>
      </c>
      <c r="J26" s="449">
        <f t="shared" si="10"/>
        <v>1.6659312487145392</v>
      </c>
      <c r="K26" s="449">
        <f t="shared" si="11"/>
        <v>0</v>
      </c>
      <c r="L26" s="449">
        <f t="shared" si="12"/>
        <v>0</v>
      </c>
      <c r="M26" s="449">
        <f t="shared" si="13"/>
        <v>0</v>
      </c>
      <c r="N26" s="449">
        <f t="shared" si="14"/>
        <v>0</v>
      </c>
      <c r="O26" s="449">
        <f t="shared" si="15"/>
        <v>0</v>
      </c>
      <c r="P26" s="450">
        <f t="shared" si="16"/>
        <v>0</v>
      </c>
      <c r="Q26" s="448">
        <f t="shared" ca="1" si="17"/>
        <v>491.60895766792373</v>
      </c>
    </row>
    <row r="27" spans="1:17" s="454" customFormat="1">
      <c r="A27" s="452" t="s">
        <v>568</v>
      </c>
      <c r="B27" s="760">
        <f t="shared" ca="1" si="2"/>
        <v>0.63292677469057024</v>
      </c>
      <c r="C27" s="453">
        <f t="shared" ca="1" si="3"/>
        <v>0</v>
      </c>
      <c r="D27" s="453">
        <f t="shared" si="4"/>
        <v>0.71669059424333725</v>
      </c>
      <c r="E27" s="453">
        <f t="shared" si="5"/>
        <v>54.957446764119808</v>
      </c>
      <c r="F27" s="453">
        <f t="shared" si="6"/>
        <v>0</v>
      </c>
      <c r="G27" s="453">
        <f t="shared" si="7"/>
        <v>14630.59697888108</v>
      </c>
      <c r="H27" s="453">
        <f t="shared" si="8"/>
        <v>2169.4142719216597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16856.318314935794</v>
      </c>
    </row>
    <row r="28" spans="1:17">
      <c r="A28" s="448" t="s">
        <v>558</v>
      </c>
      <c r="B28" s="449">
        <f t="shared" ca="1" si="2"/>
        <v>5.7113938318806463</v>
      </c>
      <c r="C28" s="449">
        <f t="shared" ca="1" si="3"/>
        <v>0</v>
      </c>
      <c r="D28" s="449">
        <f t="shared" si="4"/>
        <v>0</v>
      </c>
      <c r="E28" s="449">
        <f t="shared" si="5"/>
        <v>0</v>
      </c>
      <c r="F28" s="449">
        <f t="shared" si="6"/>
        <v>0</v>
      </c>
      <c r="G28" s="449">
        <f t="shared" si="7"/>
        <v>1446.1325850783355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1451.8439789102163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119.25205840584023</v>
      </c>
      <c r="C32" s="449">
        <f t="shared" ca="1" si="3"/>
        <v>0</v>
      </c>
      <c r="D32" s="449">
        <f t="shared" si="4"/>
        <v>993.04210000000012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1112.2941584058403</v>
      </c>
    </row>
    <row r="33" spans="1:17" s="461" customFormat="1">
      <c r="A33" s="458" t="s">
        <v>562</v>
      </c>
      <c r="B33" s="459">
        <f ca="1">SUM(B22:B32)</f>
        <v>10249.062027959522</v>
      </c>
      <c r="C33" s="459">
        <f t="shared" ref="C33:Q33" ca="1" si="18">SUM(C22:C32)</f>
        <v>0</v>
      </c>
      <c r="D33" s="459">
        <f t="shared" ca="1" si="18"/>
        <v>18382.492276674242</v>
      </c>
      <c r="E33" s="459">
        <f t="shared" si="18"/>
        <v>244.58865589619171</v>
      </c>
      <c r="F33" s="459">
        <f t="shared" ca="1" si="18"/>
        <v>7346.2242993907985</v>
      </c>
      <c r="G33" s="459">
        <f t="shared" si="18"/>
        <v>16076.729563959416</v>
      </c>
      <c r="H33" s="459">
        <f t="shared" si="18"/>
        <v>2169.4142719216597</v>
      </c>
      <c r="I33" s="459">
        <f t="shared" si="18"/>
        <v>0</v>
      </c>
      <c r="J33" s="459">
        <f t="shared" si="18"/>
        <v>161.77984117452297</v>
      </c>
      <c r="K33" s="459">
        <f t="shared" si="18"/>
        <v>0</v>
      </c>
      <c r="L33" s="459">
        <f t="shared" ca="1" si="18"/>
        <v>0</v>
      </c>
      <c r="M33" s="459">
        <f t="shared" si="18"/>
        <v>0</v>
      </c>
      <c r="N33" s="459">
        <f t="shared" ca="1" si="18"/>
        <v>0</v>
      </c>
      <c r="O33" s="459">
        <f t="shared" si="18"/>
        <v>0</v>
      </c>
      <c r="P33" s="459">
        <f t="shared" si="18"/>
        <v>0</v>
      </c>
      <c r="Q33" s="459">
        <f t="shared" ca="1" si="18"/>
        <v>54630.290936976358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2354.6158892258645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2354.6158892258645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0.21032146160017959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0.21032146160017959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0.21032146160017959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0.21032146160017959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4540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711</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12</v>
      </c>
      <c r="C17" s="327"/>
      <c r="D17" s="327"/>
      <c r="E17" s="327"/>
      <c r="F17" s="327"/>
    </row>
    <row r="18" spans="1:6">
      <c r="A18" s="1295" t="s">
        <v>8</v>
      </c>
      <c r="B18" s="1296">
        <v>16</v>
      </c>
      <c r="C18" s="327"/>
      <c r="D18" s="327"/>
      <c r="E18" s="327"/>
      <c r="F18" s="327"/>
    </row>
    <row r="19" spans="1:6">
      <c r="A19" s="1295" t="s">
        <v>9</v>
      </c>
      <c r="B19" s="1296">
        <v>9</v>
      </c>
      <c r="C19" s="327"/>
      <c r="D19" s="327"/>
      <c r="E19" s="327"/>
      <c r="F19" s="327"/>
    </row>
    <row r="20" spans="1:6">
      <c r="A20" s="1295" t="s">
        <v>10</v>
      </c>
      <c r="B20" s="1296">
        <v>29</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79</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38</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26148</v>
      </c>
    </row>
    <row r="37" spans="1:6">
      <c r="A37" s="1295" t="s">
        <v>24</v>
      </c>
      <c r="B37" s="1295" t="s">
        <v>27</v>
      </c>
      <c r="C37" s="1296">
        <v>0</v>
      </c>
      <c r="D37" s="1296">
        <v>0</v>
      </c>
      <c r="E37" s="1296">
        <v>0</v>
      </c>
      <c r="F37" s="1296">
        <v>0</v>
      </c>
    </row>
    <row r="38" spans="1:6">
      <c r="A38" s="1295" t="s">
        <v>24</v>
      </c>
      <c r="B38" s="1295" t="s">
        <v>28</v>
      </c>
      <c r="C38" s="1296">
        <v>1</v>
      </c>
      <c r="D38" s="1296">
        <v>12</v>
      </c>
      <c r="E38" s="1296">
        <v>1</v>
      </c>
      <c r="F38" s="1296">
        <v>786</v>
      </c>
    </row>
    <row r="39" spans="1:6">
      <c r="A39" s="1295" t="s">
        <v>29</v>
      </c>
      <c r="B39" s="1295" t="s">
        <v>30</v>
      </c>
      <c r="C39" s="1296">
        <v>3284</v>
      </c>
      <c r="D39" s="1296">
        <v>67951140</v>
      </c>
      <c r="E39" s="1296">
        <v>4597</v>
      </c>
      <c r="F39" s="1296">
        <v>20023356</v>
      </c>
    </row>
    <row r="40" spans="1:6">
      <c r="A40" s="1295" t="s">
        <v>29</v>
      </c>
      <c r="B40" s="1295" t="s">
        <v>28</v>
      </c>
      <c r="C40" s="1296">
        <v>0</v>
      </c>
      <c r="D40" s="1296">
        <v>0</v>
      </c>
      <c r="E40" s="1296">
        <v>0</v>
      </c>
      <c r="F40" s="1296">
        <v>0</v>
      </c>
    </row>
    <row r="41" spans="1:6">
      <c r="A41" s="1295" t="s">
        <v>31</v>
      </c>
      <c r="B41" s="1295" t="s">
        <v>32</v>
      </c>
      <c r="C41" s="1296">
        <v>24</v>
      </c>
      <c r="D41" s="1296">
        <v>541317</v>
      </c>
      <c r="E41" s="1296">
        <v>42</v>
      </c>
      <c r="F41" s="1296">
        <v>214587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280630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v>
      </c>
      <c r="D48" s="1296">
        <v>375980</v>
      </c>
      <c r="E48" s="1296">
        <v>2</v>
      </c>
      <c r="F48" s="1296">
        <v>16370</v>
      </c>
    </row>
    <row r="49" spans="1:6">
      <c r="A49" s="1295" t="s">
        <v>31</v>
      </c>
      <c r="B49" s="1295" t="s">
        <v>39</v>
      </c>
      <c r="C49" s="1296">
        <v>0</v>
      </c>
      <c r="D49" s="1296">
        <v>0</v>
      </c>
      <c r="E49" s="1296">
        <v>0</v>
      </c>
      <c r="F49" s="1296">
        <v>0</v>
      </c>
    </row>
    <row r="50" spans="1:6">
      <c r="A50" s="1295" t="s">
        <v>31</v>
      </c>
      <c r="B50" s="1295" t="s">
        <v>40</v>
      </c>
      <c r="C50" s="1296">
        <v>3</v>
      </c>
      <c r="D50" s="1296">
        <v>368828</v>
      </c>
      <c r="E50" s="1296">
        <v>9</v>
      </c>
      <c r="F50" s="1296">
        <v>374841</v>
      </c>
    </row>
    <row r="51" spans="1:6">
      <c r="A51" s="1295" t="s">
        <v>41</v>
      </c>
      <c r="B51" s="1295" t="s">
        <v>42</v>
      </c>
      <c r="C51" s="1296">
        <v>7</v>
      </c>
      <c r="D51" s="1296">
        <v>273163</v>
      </c>
      <c r="E51" s="1296">
        <v>22</v>
      </c>
      <c r="F51" s="1296">
        <v>364727</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v>
      </c>
      <c r="F54" s="1296">
        <v>956489</v>
      </c>
    </row>
    <row r="55" spans="1:6">
      <c r="A55" s="1295" t="s">
        <v>45</v>
      </c>
      <c r="B55" s="1295" t="s">
        <v>28</v>
      </c>
      <c r="C55" s="1296">
        <v>0</v>
      </c>
      <c r="D55" s="1296">
        <v>0</v>
      </c>
      <c r="E55" s="1296">
        <v>0</v>
      </c>
      <c r="F55" s="1296">
        <v>0</v>
      </c>
    </row>
    <row r="56" spans="1:6">
      <c r="A56" s="1295" t="s">
        <v>47</v>
      </c>
      <c r="B56" s="1295" t="s">
        <v>28</v>
      </c>
      <c r="C56" s="1296">
        <v>26</v>
      </c>
      <c r="D56" s="1296">
        <v>4916050</v>
      </c>
      <c r="E56" s="1296">
        <v>59</v>
      </c>
      <c r="F56" s="1296">
        <v>566999</v>
      </c>
    </row>
    <row r="57" spans="1:6">
      <c r="A57" s="1295" t="s">
        <v>48</v>
      </c>
      <c r="B57" s="1295" t="s">
        <v>49</v>
      </c>
      <c r="C57" s="1296">
        <v>31</v>
      </c>
      <c r="D57" s="1296">
        <v>4468283</v>
      </c>
      <c r="E57" s="1296">
        <v>50</v>
      </c>
      <c r="F57" s="1296">
        <v>1140184</v>
      </c>
    </row>
    <row r="58" spans="1:6">
      <c r="A58" s="1295" t="s">
        <v>48</v>
      </c>
      <c r="B58" s="1295" t="s">
        <v>50</v>
      </c>
      <c r="C58" s="1296">
        <v>19</v>
      </c>
      <c r="D58" s="1296">
        <v>1625048</v>
      </c>
      <c r="E58" s="1296">
        <v>21</v>
      </c>
      <c r="F58" s="1296">
        <v>1259072</v>
      </c>
    </row>
    <row r="59" spans="1:6">
      <c r="A59" s="1295" t="s">
        <v>48</v>
      </c>
      <c r="B59" s="1295" t="s">
        <v>51</v>
      </c>
      <c r="C59" s="1296">
        <v>46</v>
      </c>
      <c r="D59" s="1296">
        <v>2488872</v>
      </c>
      <c r="E59" s="1296">
        <v>101</v>
      </c>
      <c r="F59" s="1296">
        <v>3045567</v>
      </c>
    </row>
    <row r="60" spans="1:6">
      <c r="A60" s="1295" t="s">
        <v>48</v>
      </c>
      <c r="B60" s="1295" t="s">
        <v>52</v>
      </c>
      <c r="C60" s="1296">
        <v>17</v>
      </c>
      <c r="D60" s="1296">
        <v>958217</v>
      </c>
      <c r="E60" s="1296">
        <v>24</v>
      </c>
      <c r="F60" s="1296">
        <v>617640</v>
      </c>
    </row>
    <row r="61" spans="1:6">
      <c r="A61" s="1295" t="s">
        <v>48</v>
      </c>
      <c r="B61" s="1295" t="s">
        <v>53</v>
      </c>
      <c r="C61" s="1296">
        <v>89</v>
      </c>
      <c r="D61" s="1296">
        <v>16158427</v>
      </c>
      <c r="E61" s="1296">
        <v>214</v>
      </c>
      <c r="F61" s="1296">
        <v>17799134</v>
      </c>
    </row>
    <row r="62" spans="1:6">
      <c r="A62" s="1295" t="s">
        <v>48</v>
      </c>
      <c r="B62" s="1295" t="s">
        <v>54</v>
      </c>
      <c r="C62" s="1296">
        <v>3</v>
      </c>
      <c r="D62" s="1296">
        <v>226245</v>
      </c>
      <c r="E62" s="1296">
        <v>0</v>
      </c>
      <c r="F62" s="1296">
        <v>0</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73254</v>
      </c>
      <c r="E65" s="1296">
        <v>3</v>
      </c>
      <c r="F65" s="1296">
        <v>15881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123187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45496913</v>
      </c>
      <c r="E73" s="447"/>
      <c r="F73" s="327"/>
    </row>
    <row r="74" spans="1:6">
      <c r="A74" s="1295" t="s">
        <v>63</v>
      </c>
      <c r="B74" s="1295" t="s">
        <v>755</v>
      </c>
      <c r="C74" s="1309" t="s">
        <v>749</v>
      </c>
      <c r="D74" s="1310">
        <v>4157595.6893670829</v>
      </c>
      <c r="E74" s="447"/>
      <c r="F74" s="327"/>
    </row>
    <row r="75" spans="1:6">
      <c r="A75" s="1295" t="s">
        <v>64</v>
      </c>
      <c r="B75" s="1295" t="s">
        <v>754</v>
      </c>
      <c r="C75" s="1309" t="s">
        <v>750</v>
      </c>
      <c r="D75" s="1310">
        <v>7132632</v>
      </c>
      <c r="E75" s="447"/>
      <c r="F75" s="327"/>
    </row>
    <row r="76" spans="1:6">
      <c r="A76" s="1295" t="s">
        <v>64</v>
      </c>
      <c r="B76" s="1295" t="s">
        <v>755</v>
      </c>
      <c r="C76" s="1309" t="s">
        <v>751</v>
      </c>
      <c r="D76" s="1310">
        <v>88188.689367083134</v>
      </c>
      <c r="E76" s="447"/>
      <c r="F76" s="327"/>
    </row>
    <row r="77" spans="1:6">
      <c r="A77" s="1295" t="s">
        <v>65</v>
      </c>
      <c r="B77" s="1295" t="s">
        <v>754</v>
      </c>
      <c r="C77" s="1309" t="s">
        <v>752</v>
      </c>
      <c r="D77" s="1310">
        <v>20720492</v>
      </c>
      <c r="E77" s="447"/>
      <c r="F77" s="327"/>
    </row>
    <row r="78" spans="1:6">
      <c r="A78" s="1290" t="s">
        <v>65</v>
      </c>
      <c r="B78" s="1290" t="s">
        <v>755</v>
      </c>
      <c r="C78" s="1290" t="s">
        <v>753</v>
      </c>
      <c r="D78" s="1311">
        <v>2621928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1496080.6212658337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2040.701294549641</v>
      </c>
      <c r="C91" s="327"/>
      <c r="D91" s="327"/>
      <c r="E91" s="327"/>
      <c r="F91" s="327"/>
    </row>
    <row r="92" spans="1:6">
      <c r="A92" s="1290" t="s">
        <v>68</v>
      </c>
      <c r="B92" s="1291">
        <v>313.9145946762236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2145</v>
      </c>
      <c r="C97" s="327"/>
      <c r="D97" s="327"/>
      <c r="E97" s="327"/>
      <c r="F97" s="327"/>
    </row>
    <row r="98" spans="1:6">
      <c r="A98" s="1295" t="s">
        <v>71</v>
      </c>
      <c r="B98" s="1296">
        <v>2</v>
      </c>
      <c r="C98" s="327"/>
      <c r="D98" s="327"/>
      <c r="E98" s="327"/>
      <c r="F98" s="327"/>
    </row>
    <row r="99" spans="1:6">
      <c r="A99" s="1295" t="s">
        <v>72</v>
      </c>
      <c r="B99" s="1296">
        <v>23</v>
      </c>
      <c r="C99" s="327"/>
      <c r="D99" s="327"/>
      <c r="E99" s="327"/>
      <c r="F99" s="327"/>
    </row>
    <row r="100" spans="1:6">
      <c r="A100" s="1295" t="s">
        <v>73</v>
      </c>
      <c r="B100" s="1296">
        <v>286</v>
      </c>
      <c r="C100" s="327"/>
      <c r="D100" s="327"/>
      <c r="E100" s="327"/>
      <c r="F100" s="327"/>
    </row>
    <row r="101" spans="1:6">
      <c r="A101" s="1295" t="s">
        <v>74</v>
      </c>
      <c r="B101" s="1296">
        <v>40</v>
      </c>
      <c r="C101" s="327"/>
      <c r="D101" s="327"/>
      <c r="E101" s="327"/>
      <c r="F101" s="327"/>
    </row>
    <row r="102" spans="1:6">
      <c r="A102" s="1295" t="s">
        <v>75</v>
      </c>
      <c r="B102" s="1296">
        <v>36</v>
      </c>
      <c r="C102" s="327"/>
      <c r="D102" s="327"/>
      <c r="E102" s="327"/>
      <c r="F102" s="327"/>
    </row>
    <row r="103" spans="1:6">
      <c r="A103" s="1295" t="s">
        <v>76</v>
      </c>
      <c r="B103" s="1296">
        <v>58</v>
      </c>
      <c r="C103" s="327"/>
      <c r="D103" s="327"/>
      <c r="E103" s="327"/>
      <c r="F103" s="327"/>
    </row>
    <row r="104" spans="1:6">
      <c r="A104" s="1295" t="s">
        <v>77</v>
      </c>
      <c r="B104" s="1296">
        <v>1330</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48730.462169585706</v>
      </c>
      <c r="C3" s="44" t="s">
        <v>169</v>
      </c>
      <c r="D3" s="44"/>
      <c r="E3" s="157"/>
      <c r="F3" s="44"/>
      <c r="G3" s="44"/>
      <c r="H3" s="44"/>
      <c r="I3" s="44"/>
      <c r="J3" s="44"/>
      <c r="K3" s="97"/>
    </row>
    <row r="4" spans="1:11">
      <c r="A4" s="354" t="s">
        <v>170</v>
      </c>
      <c r="B4" s="50">
        <f>IF(ISERROR('SEAP template'!B78+'SEAP template'!C78),0,'SEAP template'!B78+'SEAP template'!C78)</f>
        <v>2354.6158892258645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0.21032146160017959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956.48900000000003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956.48900000000003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0.21032146160017959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201.17016448449419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20023.356</v>
      </c>
      <c r="C5" s="18">
        <f>IF(ISERROR('Eigen informatie GS &amp; warmtenet'!B57),0,'Eigen informatie GS &amp; warmtenet'!B57)</f>
        <v>0</v>
      </c>
      <c r="D5" s="31">
        <f>(SUM(HH_hh_gas_kWh,HH_rest_gas_kWh)/1000)*0.902</f>
        <v>61291.92828</v>
      </c>
      <c r="E5" s="18">
        <f>B32*B41</f>
        <v>736.07566312294887</v>
      </c>
      <c r="F5" s="18">
        <f>B36*B45</f>
        <v>22440.809923192111</v>
      </c>
      <c r="G5" s="19"/>
      <c r="H5" s="18"/>
      <c r="I5" s="18"/>
      <c r="J5" s="18">
        <f>B35*B44+C35*C44</f>
        <v>407.1806766495925</v>
      </c>
      <c r="K5" s="18"/>
      <c r="L5" s="18"/>
      <c r="M5" s="18"/>
      <c r="N5" s="18">
        <f>B34*B43+C34*C43</f>
        <v>6330.9822316573982</v>
      </c>
      <c r="O5" s="18">
        <f>B52*B53*B54</f>
        <v>21.88666666666667</v>
      </c>
      <c r="P5" s="18">
        <f>B60*B61*B62/1000-B60*B61*B62/1000/B63</f>
        <v>95.333333333333343</v>
      </c>
    </row>
    <row r="6" spans="1:16">
      <c r="A6" s="17" t="s">
        <v>628</v>
      </c>
      <c r="B6" s="768">
        <f>kWh_PV_kleiner_dan_10kW</f>
        <v>2040.701294549641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22064.057294549642</v>
      </c>
      <c r="C8" s="22">
        <f>C5</f>
        <v>0</v>
      </c>
      <c r="D8" s="22">
        <f>D5</f>
        <v>61291.92828</v>
      </c>
      <c r="E8" s="22">
        <f>E5</f>
        <v>736.07566312294887</v>
      </c>
      <c r="F8" s="22">
        <f>F5</f>
        <v>22440.809923192111</v>
      </c>
      <c r="G8" s="22"/>
      <c r="H8" s="22"/>
      <c r="I8" s="22"/>
      <c r="J8" s="22">
        <f>J5</f>
        <v>407.1806766495925</v>
      </c>
      <c r="K8" s="22"/>
      <c r="L8" s="22">
        <f>L5</f>
        <v>0</v>
      </c>
      <c r="M8" s="22">
        <f>M5</f>
        <v>0</v>
      </c>
      <c r="N8" s="22">
        <f>N5</f>
        <v>6330.9822316573982</v>
      </c>
      <c r="O8" s="22">
        <f>O5</f>
        <v>21.88666666666667</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0.21032146160017959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4640.544779019785</v>
      </c>
      <c r="C12" s="24">
        <f ca="1">C10*C8</f>
        <v>0</v>
      </c>
      <c r="D12" s="24">
        <f>D8*D10</f>
        <v>12380.969512560001</v>
      </c>
      <c r="E12" s="24">
        <f>E10*E8</f>
        <v>167.08917552890941</v>
      </c>
      <c r="F12" s="24">
        <f>F10*F8</f>
        <v>5991.6962494922936</v>
      </c>
      <c r="G12" s="24"/>
      <c r="H12" s="24"/>
      <c r="I12" s="24"/>
      <c r="J12" s="24">
        <f>J10*J8</f>
        <v>144.14195953395574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4540</v>
      </c>
      <c r="C26" s="37"/>
      <c r="D26" s="228"/>
    </row>
    <row r="27" spans="1:5" s="16" customFormat="1">
      <c r="A27" s="230" t="s">
        <v>654</v>
      </c>
      <c r="B27" s="38">
        <f>SUM(HH_hh_gas_aantal,HH_rest_gas_aantal)</f>
        <v>3284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3119.8</v>
      </c>
      <c r="C31" s="35" t="s">
        <v>110</v>
      </c>
      <c r="D31" s="174"/>
    </row>
    <row r="32" spans="1:5">
      <c r="A32" s="171" t="s">
        <v>72</v>
      </c>
      <c r="B32" s="34">
        <f>IF((B21*($B$26-($B$27-0.05*$B$27)-$B$60))&lt;0,0,B21*($B$26-($B$27-0.05*$B$27)-$B$60))</f>
        <v>34.779007820355453</v>
      </c>
      <c r="C32" s="35" t="s">
        <v>110</v>
      </c>
      <c r="D32" s="174"/>
    </row>
    <row r="33" spans="1:6">
      <c r="A33" s="171" t="s">
        <v>73</v>
      </c>
      <c r="B33" s="34">
        <f>IF((B22*($B$26-($B$27-0.05*$B$27)-$B$60))&lt;0,0,B22*($B$26-($B$27-0.05*$B$27)-$B$60))</f>
        <v>234.10351282534944</v>
      </c>
      <c r="C33" s="35" t="s">
        <v>110</v>
      </c>
      <c r="D33" s="174"/>
    </row>
    <row r="34" spans="1:6">
      <c r="A34" s="171" t="s">
        <v>74</v>
      </c>
      <c r="B34" s="34">
        <f>IF((B24*($B$26-($B$27-0.05*$B$27)-$B$60))&lt;0,0,B24*($B$26-($B$27-0.05*$B$27)-$B$60))</f>
        <v>59.373585307446092</v>
      </c>
      <c r="C34" s="34">
        <f>B26*C24</f>
        <v>928.44056761758804</v>
      </c>
      <c r="D34" s="233"/>
    </row>
    <row r="35" spans="1:6">
      <c r="A35" s="171" t="s">
        <v>76</v>
      </c>
      <c r="B35" s="34">
        <f>IF((B19*($B$26-($B$27-0.05*$B$27)-$B$60))&lt;0,0,B19*($B$26-($B$27-0.05*$B$27)-$B$60))</f>
        <v>22.073220086807904</v>
      </c>
      <c r="C35" s="34">
        <f>B35/2</f>
        <v>11.036610043403952</v>
      </c>
      <c r="D35" s="233"/>
    </row>
    <row r="36" spans="1:6">
      <c r="A36" s="171" t="s">
        <v>77</v>
      </c>
      <c r="B36" s="34">
        <f>IF((B18*($B$26-($B$27-0.05*$B$27)-$B$60))&lt;0,0,B18*($B$26-($B$27-0.05*$B$27)-$B$60))</f>
        <v>1064.8706739600407</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23861.596999999998</v>
      </c>
      <c r="C5" s="18">
        <f>IF(ISERROR('Eigen informatie GS &amp; warmtenet'!B58),0,'Eigen informatie GS &amp; warmtenet'!B58)</f>
        <v>0</v>
      </c>
      <c r="D5" s="31">
        <f>SUM(D6:D12)</f>
        <v>23384.432983999999</v>
      </c>
      <c r="E5" s="18">
        <f>SUM(E6:E12)</f>
        <v>88.239384878217137</v>
      </c>
      <c r="F5" s="18">
        <f>SUM(F6:F12)</f>
        <v>3630.3316967094311</v>
      </c>
      <c r="G5" s="19"/>
      <c r="H5" s="18"/>
      <c r="I5" s="18"/>
      <c r="J5" s="18">
        <f>SUM(J6:J12)</f>
        <v>0</v>
      </c>
      <c r="K5" s="18"/>
      <c r="L5" s="18"/>
      <c r="M5" s="18"/>
      <c r="N5" s="18">
        <f>SUM(N6:N12)</f>
        <v>687.39132718254587</v>
      </c>
      <c r="O5" s="18">
        <f>B38*B39*B40</f>
        <v>0</v>
      </c>
      <c r="P5" s="18">
        <f>B46*B47*B48/1000-B46*B47*B48/1000/B49</f>
        <v>19.066666666666666</v>
      </c>
      <c r="R5" s="33"/>
    </row>
    <row r="6" spans="1:18">
      <c r="A6" s="33" t="s">
        <v>53</v>
      </c>
      <c r="B6" s="38">
        <f>B26</f>
        <v>17799.133999999998</v>
      </c>
      <c r="C6" s="34"/>
      <c r="D6" s="38">
        <f>IF(ISERROR(TER_kantoor_gas_kWh/1000),0,TER_kantoor_gas_kWh/1000)*0.902</f>
        <v>14574.901153999999</v>
      </c>
      <c r="E6" s="34">
        <f>$C$26*'E Balans VL '!I12/100/3.6*1000000</f>
        <v>29.21198634859455</v>
      </c>
      <c r="F6" s="34">
        <f>$C$26*('E Balans VL '!L12+'E Balans VL '!N12)/100/3.6*1000000</f>
        <v>2098.0991077192275</v>
      </c>
      <c r="G6" s="35"/>
      <c r="H6" s="34"/>
      <c r="I6" s="34"/>
      <c r="J6" s="34">
        <f>$C$26*('E Balans VL '!D12+'E Balans VL '!E12)/100/3.6*1000000</f>
        <v>0</v>
      </c>
      <c r="K6" s="34"/>
      <c r="L6" s="34"/>
      <c r="M6" s="34"/>
      <c r="N6" s="34">
        <f>$C$26*'E Balans VL '!Y12/100/3.6*1000000</f>
        <v>3.5962307389002506</v>
      </c>
      <c r="O6" s="34"/>
      <c r="P6" s="34"/>
      <c r="R6" s="33"/>
    </row>
    <row r="7" spans="1:18">
      <c r="A7" s="33" t="s">
        <v>52</v>
      </c>
      <c r="B7" s="38">
        <f t="shared" ref="B7:B12" si="0">B27</f>
        <v>617.64</v>
      </c>
      <c r="C7" s="34"/>
      <c r="D7" s="38">
        <f>IF(ISERROR(TER_horeca_gas_kWh/1000),0,TER_horeca_gas_kWh/1000)*0.902</f>
        <v>864.311734</v>
      </c>
      <c r="E7" s="34">
        <f>$C$27*'E Balans VL '!I9/100/3.6*1000000</f>
        <v>32.051046661319717</v>
      </c>
      <c r="F7" s="34">
        <f>$C$27*('E Balans VL '!L9+'E Balans VL '!N9)/100/3.6*1000000</f>
        <v>140.94589616180517</v>
      </c>
      <c r="G7" s="35"/>
      <c r="H7" s="34"/>
      <c r="I7" s="34"/>
      <c r="J7" s="34">
        <f>$C$27*('E Balans VL '!D9+'E Balans VL '!E9)/100/3.6*1000000</f>
        <v>0</v>
      </c>
      <c r="K7" s="34"/>
      <c r="L7" s="34"/>
      <c r="M7" s="34"/>
      <c r="N7" s="34">
        <f>$C$27*'E Balans VL '!Y9/100/3.6*1000000</f>
        <v>6.5222500954121437E-2</v>
      </c>
      <c r="O7" s="34"/>
      <c r="P7" s="34"/>
      <c r="R7" s="33"/>
    </row>
    <row r="8" spans="1:18">
      <c r="A8" s="6" t="s">
        <v>51</v>
      </c>
      <c r="B8" s="38">
        <f t="shared" si="0"/>
        <v>3045.567</v>
      </c>
      <c r="C8" s="34"/>
      <c r="D8" s="38">
        <f>IF(ISERROR(TER_handel_gas_kWh/1000),0,TER_handel_gas_kWh/1000)*0.902</f>
        <v>2244.962544</v>
      </c>
      <c r="E8" s="34">
        <f>$C$28*'E Balans VL '!I13/100/3.6*1000000</f>
        <v>16.400752545442398</v>
      </c>
      <c r="F8" s="34">
        <f>$C$28*('E Balans VL '!L13+'E Balans VL '!N13)/100/3.6*1000000</f>
        <v>621.08161739964851</v>
      </c>
      <c r="G8" s="35"/>
      <c r="H8" s="34"/>
      <c r="I8" s="34"/>
      <c r="J8" s="34">
        <f>$C$28*('E Balans VL '!D13+'E Balans VL '!E13)/100/3.6*1000000</f>
        <v>0</v>
      </c>
      <c r="K8" s="34"/>
      <c r="L8" s="34"/>
      <c r="M8" s="34"/>
      <c r="N8" s="34">
        <f>$C$28*'E Balans VL '!Y13/100/3.6*1000000</f>
        <v>15.143996373146539</v>
      </c>
      <c r="O8" s="34"/>
      <c r="P8" s="34"/>
      <c r="R8" s="33"/>
    </row>
    <row r="9" spans="1:18">
      <c r="A9" s="33" t="s">
        <v>50</v>
      </c>
      <c r="B9" s="38">
        <f t="shared" si="0"/>
        <v>1259.0719999999999</v>
      </c>
      <c r="C9" s="34"/>
      <c r="D9" s="38">
        <f>IF(ISERROR(TER_gezond_gas_kWh/1000),0,TER_gezond_gas_kWh/1000)*0.902</f>
        <v>1465.7932960000001</v>
      </c>
      <c r="E9" s="34">
        <f>$C$29*'E Balans VL '!I10/100/3.6*1000000</f>
        <v>1.2477546701075271</v>
      </c>
      <c r="F9" s="34">
        <f>$C$29*('E Balans VL '!L10+'E Balans VL '!N10)/100/3.6*1000000</f>
        <v>436.86169264189454</v>
      </c>
      <c r="G9" s="35"/>
      <c r="H9" s="34"/>
      <c r="I9" s="34"/>
      <c r="J9" s="34">
        <f>$C$29*('E Balans VL '!D10+'E Balans VL '!E10)/100/3.6*1000000</f>
        <v>0</v>
      </c>
      <c r="K9" s="34"/>
      <c r="L9" s="34"/>
      <c r="M9" s="34"/>
      <c r="N9" s="34">
        <f>$C$29*'E Balans VL '!Y10/100/3.6*1000000</f>
        <v>10.84931435111557</v>
      </c>
      <c r="O9" s="34"/>
      <c r="P9" s="34"/>
      <c r="R9" s="33"/>
    </row>
    <row r="10" spans="1:18">
      <c r="A10" s="33" t="s">
        <v>49</v>
      </c>
      <c r="B10" s="38">
        <f t="shared" si="0"/>
        <v>1140.184</v>
      </c>
      <c r="C10" s="34"/>
      <c r="D10" s="38">
        <f>IF(ISERROR(TER_ander_gas_kWh/1000),0,TER_ander_gas_kWh/1000)*0.902</f>
        <v>4030.3912660000005</v>
      </c>
      <c r="E10" s="34">
        <f>$C$30*'E Balans VL '!I14/100/3.6*1000000</f>
        <v>9.3278446527529439</v>
      </c>
      <c r="F10" s="34">
        <f>$C$30*('E Balans VL '!L14+'E Balans VL '!N14)/100/3.6*1000000</f>
        <v>333.34338278685533</v>
      </c>
      <c r="G10" s="35"/>
      <c r="H10" s="34"/>
      <c r="I10" s="34"/>
      <c r="J10" s="34">
        <f>$C$30*('E Balans VL '!D14+'E Balans VL '!E14)/100/3.6*1000000</f>
        <v>0</v>
      </c>
      <c r="K10" s="34"/>
      <c r="L10" s="34"/>
      <c r="M10" s="34"/>
      <c r="N10" s="34">
        <f>$C$30*'E Balans VL '!Y14/100/3.6*1000000</f>
        <v>657.73656321842941</v>
      </c>
      <c r="O10" s="34"/>
      <c r="P10" s="34"/>
      <c r="R10" s="33"/>
    </row>
    <row r="11" spans="1:18">
      <c r="A11" s="33" t="s">
        <v>54</v>
      </c>
      <c r="B11" s="38">
        <f t="shared" si="0"/>
        <v>0</v>
      </c>
      <c r="C11" s="34"/>
      <c r="D11" s="38">
        <f>IF(ISERROR(TER_onderwijs_gas_kWh/1000),0,TER_onderwijs_gas_kWh/1000)*0.902</f>
        <v>204.07299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23861.596999999998</v>
      </c>
      <c r="C16" s="22">
        <f t="shared" ca="1" si="1"/>
        <v>0</v>
      </c>
      <c r="D16" s="22">
        <f t="shared" ca="1" si="1"/>
        <v>23384.432983999999</v>
      </c>
      <c r="E16" s="22">
        <f t="shared" si="1"/>
        <v>88.239384878217137</v>
      </c>
      <c r="F16" s="22">
        <f t="shared" ca="1" si="1"/>
        <v>3630.3316967094311</v>
      </c>
      <c r="G16" s="22">
        <f t="shared" si="1"/>
        <v>0</v>
      </c>
      <c r="H16" s="22">
        <f t="shared" si="1"/>
        <v>0</v>
      </c>
      <c r="I16" s="22">
        <f t="shared" si="1"/>
        <v>0</v>
      </c>
      <c r="J16" s="22">
        <f t="shared" si="1"/>
        <v>0</v>
      </c>
      <c r="K16" s="22">
        <f t="shared" si="1"/>
        <v>0</v>
      </c>
      <c r="L16" s="22">
        <f t="shared" ca="1" si="1"/>
        <v>0</v>
      </c>
      <c r="M16" s="22">
        <f t="shared" si="1"/>
        <v>0</v>
      </c>
      <c r="N16" s="22">
        <f t="shared" ca="1" si="1"/>
        <v>687.39132718254587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0.21032146160017959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5018.6059571544602</v>
      </c>
      <c r="C20" s="24">
        <f t="shared" ref="C20:P20" ca="1" si="2">C16*C18</f>
        <v>0</v>
      </c>
      <c r="D20" s="24">
        <f t="shared" ca="1" si="2"/>
        <v>4723.6554627679998</v>
      </c>
      <c r="E20" s="24">
        <f t="shared" si="2"/>
        <v>20.03034036735529</v>
      </c>
      <c r="F20" s="24">
        <f t="shared" ca="1" si="2"/>
        <v>969.2985630214182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17799.133999999998</v>
      </c>
      <c r="C26" s="40">
        <f>IF(ISERROR(B26*3.6/1000000/'E Balans VL '!Z12*100),0,B26*3.6/1000000/'E Balans VL '!Z12*100)</f>
        <v>0.37821883318845761</v>
      </c>
      <c r="D26" s="236" t="s">
        <v>691</v>
      </c>
      <c r="F26" s="6"/>
    </row>
    <row r="27" spans="1:18">
      <c r="A27" s="231" t="s">
        <v>52</v>
      </c>
      <c r="B27" s="34">
        <f>IF(ISERROR(TER_horeca_ele_kWh/1000),0,TER_horeca_ele_kWh/1000)</f>
        <v>617.64</v>
      </c>
      <c r="C27" s="40">
        <f>IF(ISERROR(B27*3.6/1000000/'E Balans VL '!Z9*100),0,B27*3.6/1000000/'E Balans VL '!Z9*100)</f>
        <v>4.861304418940729E-2</v>
      </c>
      <c r="D27" s="236" t="s">
        <v>691</v>
      </c>
      <c r="F27" s="6"/>
    </row>
    <row r="28" spans="1:18">
      <c r="A28" s="171" t="s">
        <v>51</v>
      </c>
      <c r="B28" s="34">
        <f>IF(ISERROR(TER_handel_ele_kWh/1000),0,TER_handel_ele_kWh/1000)</f>
        <v>3045.567</v>
      </c>
      <c r="C28" s="40">
        <f>IF(ISERROR(B28*3.6/1000000/'E Balans VL '!Z13*100),0,B28*3.6/1000000/'E Balans VL '!Z13*100)</f>
        <v>8.5307961593109508E-2</v>
      </c>
      <c r="D28" s="236" t="s">
        <v>691</v>
      </c>
      <c r="F28" s="6"/>
    </row>
    <row r="29" spans="1:18">
      <c r="A29" s="231" t="s">
        <v>50</v>
      </c>
      <c r="B29" s="34">
        <f>IF(ISERROR(TER_gezond_ele_kWh/1000),0,TER_gezond_ele_kWh/1000)</f>
        <v>1259.0719999999999</v>
      </c>
      <c r="C29" s="40">
        <f>IF(ISERROR(B29*3.6/1000000/'E Balans VL '!Z10*100),0,B29*3.6/1000000/'E Balans VL '!Z10*100)</f>
        <v>0.16107338160392098</v>
      </c>
      <c r="D29" s="236" t="s">
        <v>691</v>
      </c>
      <c r="F29" s="6"/>
    </row>
    <row r="30" spans="1:18">
      <c r="A30" s="231" t="s">
        <v>49</v>
      </c>
      <c r="B30" s="34">
        <f>IF(ISERROR(TER_ander_ele_kWh/1000),0,TER_ander_ele_kWh/1000)</f>
        <v>1140.184</v>
      </c>
      <c r="C30" s="40">
        <f>IF(ISERROR(B30*3.6/1000000/'E Balans VL '!Z14*100),0,B30*3.6/1000000/'E Balans VL '!Z14*100)</f>
        <v>8.5276155841786022E-2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886.428</v>
      </c>
      <c r="C5" s="18">
        <f>IF(ISERROR('Eigen informatie GS &amp; warmtenet'!B59),0,'Eigen informatie GS &amp; warmtenet'!B59)</f>
        <v>0</v>
      </c>
      <c r="D5" s="31">
        <f>SUM(D6:D15)</f>
        <v>1160.08475</v>
      </c>
      <c r="E5" s="18">
        <f>SUM(E6:E15)</f>
        <v>7.6287551959388029</v>
      </c>
      <c r="F5" s="18">
        <f>SUM(F6:F15)</f>
        <v>252.58182369440877</v>
      </c>
      <c r="G5" s="19"/>
      <c r="H5" s="18"/>
      <c r="I5" s="18"/>
      <c r="J5" s="18">
        <f>SUM(J6:J15)</f>
        <v>4.7060204765947438</v>
      </c>
      <c r="K5" s="18"/>
      <c r="L5" s="18"/>
      <c r="M5" s="18"/>
      <c r="N5" s="18">
        <f>SUM(N6:N15)</f>
        <v>23.275655855910593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280.63</v>
      </c>
      <c r="C8" s="34"/>
      <c r="D8" s="38">
        <f>IF( ISERROR(IND_metaal_Gas_kWH/1000),0,IND_metaal_Gas_kWH/1000)*0.902</f>
        <v>0</v>
      </c>
      <c r="E8" s="34">
        <f>C30*'E Balans VL '!I18/100/3.6*1000000</f>
        <v>2.5556468370069756</v>
      </c>
      <c r="F8" s="34">
        <f>C30*'E Balans VL '!L18/100/3.6*1000000+C30*'E Balans VL '!N18/100/3.6*1000000</f>
        <v>37.012965859176504</v>
      </c>
      <c r="G8" s="35"/>
      <c r="H8" s="34"/>
      <c r="I8" s="34"/>
      <c r="J8" s="41">
        <f>C30*'E Balans VL '!D18/100/3.6*1000000+C30*'E Balans VL '!E18/100/3.6*1000000</f>
        <v>4.6019245399121989</v>
      </c>
      <c r="K8" s="34"/>
      <c r="L8" s="34"/>
      <c r="M8" s="34"/>
      <c r="N8" s="34">
        <f>C30*'E Balans VL '!Y18/100/3.6*1000000</f>
        <v>0.9644138300184677</v>
      </c>
      <c r="O8" s="34"/>
      <c r="P8" s="34"/>
      <c r="R8" s="33"/>
    </row>
    <row r="9" spans="1:18">
      <c r="A9" s="6" t="s">
        <v>32</v>
      </c>
      <c r="B9" s="38">
        <f t="shared" si="0"/>
        <v>214.58699999999999</v>
      </c>
      <c r="C9" s="34"/>
      <c r="D9" s="38">
        <f>IF( ISERROR(IND_andere_gas_kWh/1000),0,IND_andere_gas_kWh/1000)*0.902</f>
        <v>488.26793400000003</v>
      </c>
      <c r="E9" s="34">
        <f>C31*'E Balans VL '!I19/100/3.6*1000000</f>
        <v>1.240344927374762</v>
      </c>
      <c r="F9" s="34">
        <f>C31*'E Balans VL '!L19/100/3.6*1000000+C31*'E Balans VL '!N19/100/3.6*1000000</f>
        <v>170.71428401784425</v>
      </c>
      <c r="G9" s="35"/>
      <c r="H9" s="34"/>
      <c r="I9" s="34"/>
      <c r="J9" s="41">
        <f>C31*'E Balans VL '!D19/100/3.6*1000000+C31*'E Balans VL '!E19/100/3.6*1000000</f>
        <v>2.0297546635115609E-2</v>
      </c>
      <c r="K9" s="34"/>
      <c r="L9" s="34"/>
      <c r="M9" s="34"/>
      <c r="N9" s="34">
        <f>C31*'E Balans VL '!Y19/100/3.6*1000000</f>
        <v>16.258212661002958</v>
      </c>
      <c r="O9" s="34"/>
      <c r="P9" s="34"/>
      <c r="R9" s="33"/>
    </row>
    <row r="10" spans="1:18">
      <c r="A10" s="6" t="s">
        <v>40</v>
      </c>
      <c r="B10" s="38">
        <f t="shared" si="0"/>
        <v>374.84100000000001</v>
      </c>
      <c r="C10" s="34"/>
      <c r="D10" s="38">
        <f>IF( ISERROR(IND_voed_gas_kWh/1000),0,IND_voed_gas_kWh/1000)*0.902</f>
        <v>332.68285599999996</v>
      </c>
      <c r="E10" s="34">
        <f>C32*'E Balans VL '!I20/100/3.6*1000000</f>
        <v>3.6856676707749574</v>
      </c>
      <c r="F10" s="34">
        <f>C32*'E Balans VL '!L20/100/3.6*1000000+C32*'E Balans VL '!N20/100/3.6*1000000</f>
        <v>41.630985716276385</v>
      </c>
      <c r="G10" s="35"/>
      <c r="H10" s="34"/>
      <c r="I10" s="34"/>
      <c r="J10" s="41">
        <f>C32*'E Balans VL '!D20/100/3.6*1000000+C32*'E Balans VL '!E20/100/3.6*1000000</f>
        <v>1.4774185485746253E-3</v>
      </c>
      <c r="K10" s="34"/>
      <c r="L10" s="34"/>
      <c r="M10" s="34"/>
      <c r="N10" s="34">
        <f>C32*'E Balans VL '!Y20/100/3.6*1000000</f>
        <v>5.5505134910280072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16.37</v>
      </c>
      <c r="C15" s="34"/>
      <c r="D15" s="38">
        <f>IF( ISERROR(IND_rest_gas_kWh/1000),0,IND_rest_gas_kWh/1000)*0.902</f>
        <v>339.13396</v>
      </c>
      <c r="E15" s="34">
        <f>C37*'E Balans VL '!I15/100/3.6*1000000</f>
        <v>0.14709576078210812</v>
      </c>
      <c r="F15" s="34">
        <f>C37*'E Balans VL '!L15/100/3.6*1000000+C37*'E Balans VL '!N15/100/3.6*1000000</f>
        <v>3.223588101111623</v>
      </c>
      <c r="G15" s="35"/>
      <c r="H15" s="34"/>
      <c r="I15" s="34"/>
      <c r="J15" s="41">
        <f>C37*'E Balans VL '!D15/100/3.6*1000000+C37*'E Balans VL '!E15/100/3.6*1000000</f>
        <v>8.2320971498855047E-2</v>
      </c>
      <c r="K15" s="34"/>
      <c r="L15" s="34"/>
      <c r="M15" s="34"/>
      <c r="N15" s="34">
        <f>C37*'E Balans VL '!Y15/100/3.6*1000000</f>
        <v>0.5025158738611597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886.428</v>
      </c>
      <c r="C18" s="22">
        <f>C5+C16</f>
        <v>0</v>
      </c>
      <c r="D18" s="22">
        <f>MAX((D5+D16),0)</f>
        <v>1160.08475</v>
      </c>
      <c r="E18" s="22">
        <f>MAX((E5+E16),0)</f>
        <v>7.6287551959388029</v>
      </c>
      <c r="F18" s="22">
        <f>MAX((F5+F16),0)</f>
        <v>252.58182369440877</v>
      </c>
      <c r="G18" s="22"/>
      <c r="H18" s="22"/>
      <c r="I18" s="22"/>
      <c r="J18" s="22">
        <f>MAX((J5+J16),0)</f>
        <v>4.7060204765947438</v>
      </c>
      <c r="K18" s="22"/>
      <c r="L18" s="22">
        <f>MAX((L5+L16),0)</f>
        <v>0</v>
      </c>
      <c r="M18" s="22"/>
      <c r="N18" s="22">
        <f>MAX((N5+N16),0)</f>
        <v>23.275655855910593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0.21032146160017959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186.43483256332399</v>
      </c>
      <c r="C22" s="24">
        <f ca="1">C18*C20</f>
        <v>0</v>
      </c>
      <c r="D22" s="24">
        <f>D18*D20</f>
        <v>234.3371195</v>
      </c>
      <c r="E22" s="24">
        <f>E18*E20</f>
        <v>1.7317274294781084</v>
      </c>
      <c r="F22" s="24">
        <f>F18*F20</f>
        <v>67.43934692640714</v>
      </c>
      <c r="G22" s="24"/>
      <c r="H22" s="24"/>
      <c r="I22" s="24"/>
      <c r="J22" s="24">
        <f>J18*J20</f>
        <v>1.6659312487145392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280.63</v>
      </c>
      <c r="C30" s="40">
        <f>IF(ISERROR(B30*3.6/1000000/'E Balans VL '!Z18*100),0,B30*3.6/1000000/'E Balans VL '!Z18*100)</f>
        <v>1.5615182943290368E-2</v>
      </c>
      <c r="D30" s="236" t="s">
        <v>691</v>
      </c>
    </row>
    <row r="31" spans="1:18">
      <c r="A31" s="6" t="s">
        <v>32</v>
      </c>
      <c r="B31" s="38">
        <f>IF( ISERROR(IND_ander_ele_kWh/1000),0,IND_ander_ele_kWh/1000)</f>
        <v>214.58699999999999</v>
      </c>
      <c r="C31" s="40">
        <f>IF(ISERROR(B31*3.6/1000000/'E Balans VL '!Z19*100),0,B31*3.6/1000000/'E Balans VL '!Z19*100)</f>
        <v>9.975586059579003E-3</v>
      </c>
      <c r="D31" s="236" t="s">
        <v>691</v>
      </c>
    </row>
    <row r="32" spans="1:18">
      <c r="A32" s="171" t="s">
        <v>40</v>
      </c>
      <c r="B32" s="38">
        <f>IF( ISERROR(IND_voed_ele_kWh/1000),0,IND_voed_ele_kWh/1000)</f>
        <v>374.84100000000001</v>
      </c>
      <c r="C32" s="40">
        <f>IF(ISERROR(B32*3.6/1000000/'E Balans VL '!Z20*100),0,B32*3.6/1000000/'E Balans VL '!Z20*100)</f>
        <v>1.3249872326540226E-2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16.37</v>
      </c>
      <c r="C37" s="40">
        <f>IF(ISERROR(B37*3.6/1000000/'E Balans VL '!Z15*100),0,B37*3.6/1000000/'E Balans VL '!Z15*100)</f>
        <v>1.2361768214670253E-4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364.72699999999998</v>
      </c>
      <c r="C5" s="18">
        <f>'Eigen informatie GS &amp; warmtenet'!B60</f>
        <v>0</v>
      </c>
      <c r="D5" s="31">
        <f>IF(ISERROR(SUM(LB_lb_gas_kWh,LB_rest_gas_kWh)/1000),0,SUM(LB_lb_gas_kWh,LB_rest_gas_kWh)/1000)*0.902</f>
        <v>246.39302600000002</v>
      </c>
      <c r="E5" s="18">
        <f>B17*'E Balans VL '!I25/3.6*1000000/100</f>
        <v>3.43597271510626</v>
      </c>
      <c r="F5" s="18">
        <f>B17*('E Balans VL '!L25/3.6*1000000+'E Balans VL '!N25/3.6*1000000)/100</f>
        <v>1190.2252432609735</v>
      </c>
      <c r="G5" s="19"/>
      <c r="H5" s="18"/>
      <c r="I5" s="18"/>
      <c r="J5" s="18">
        <f>('E Balans VL '!D25+'E Balans VL '!E25)/3.6*1000000*landbouw!B17/100</f>
        <v>45.118503931787217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364.72699999999998</v>
      </c>
      <c r="C8" s="22">
        <f>C5+C6</f>
        <v>0</v>
      </c>
      <c r="D8" s="22">
        <f>MAX((D5+D6),0)</f>
        <v>246.39302600000002</v>
      </c>
      <c r="E8" s="22">
        <f>MAX((E5+E6),0)</f>
        <v>3.43597271510626</v>
      </c>
      <c r="F8" s="22">
        <f>MAX((F5+F6),0)</f>
        <v>1190.2252432609735</v>
      </c>
      <c r="G8" s="22"/>
      <c r="H8" s="22"/>
      <c r="I8" s="22"/>
      <c r="J8" s="22">
        <f>MAX((J5+J6),0)</f>
        <v>45.118503931787217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0.21032146160017959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76.709915725048688</v>
      </c>
      <c r="C12" s="24">
        <f ca="1">C8*C10</f>
        <v>0</v>
      </c>
      <c r="D12" s="24">
        <f>D8*D10</f>
        <v>49.771391252000008</v>
      </c>
      <c r="E12" s="24">
        <f>E8*E10</f>
        <v>0.77996580632912105</v>
      </c>
      <c r="F12" s="24">
        <f>F8*F10</f>
        <v>317.79013995067993</v>
      </c>
      <c r="G12" s="24"/>
      <c r="H12" s="24"/>
      <c r="I12" s="24"/>
      <c r="J12" s="24">
        <f>J8*J10</f>
        <v>15.971950391852674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4.9378207648848323E-2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4.3338579240006005</v>
      </c>
      <c r="C26" s="246">
        <f>B26*'GWP N2O_CH4'!B5</f>
        <v>91.011016404012608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0.2594795351223898</v>
      </c>
      <c r="C27" s="246">
        <f>B27*'GWP N2O_CH4'!B5</f>
        <v>5.4490702375701856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6.5097030134397757E-2</v>
      </c>
      <c r="C28" s="246">
        <f>B28*'GWP N2O_CH4'!B4</f>
        <v>20.180079341663305</v>
      </c>
      <c r="D28" s="51"/>
    </row>
    <row r="29" spans="1:4">
      <c r="A29" s="42" t="s">
        <v>272</v>
      </c>
      <c r="B29" s="246">
        <f>B34*'ha_N2O bodem landbouw'!B4</f>
        <v>3.9214244112938719</v>
      </c>
      <c r="C29" s="246">
        <f>B29*'GWP N2O_CH4'!B4</f>
        <v>1215.6415675011003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1.0586611435624916E-3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1.0833589551681336E-5</v>
      </c>
      <c r="C5" s="435" t="s">
        <v>210</v>
      </c>
      <c r="D5" s="420">
        <f>SUM(D6:D11)</f>
        <v>1.2772703659782249E-5</v>
      </c>
      <c r="E5" s="420">
        <f>SUM(E6:E11)</f>
        <v>8.7157184295520392E-4</v>
      </c>
      <c r="F5" s="433" t="s">
        <v>210</v>
      </c>
      <c r="G5" s="420">
        <f>SUM(G6:G11)</f>
        <v>0.1972664761197449</v>
      </c>
      <c r="H5" s="420">
        <f>SUM(H6:H11)</f>
        <v>3.1365025618144478E-2</v>
      </c>
      <c r="I5" s="435" t="s">
        <v>210</v>
      </c>
      <c r="J5" s="435" t="s">
        <v>210</v>
      </c>
      <c r="K5" s="435" t="s">
        <v>210</v>
      </c>
      <c r="L5" s="435" t="s">
        <v>210</v>
      </c>
      <c r="M5" s="420">
        <f>SUM(M6:M11)</f>
        <v>1.0214188494183056E-2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6.3879174211480722E-6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7.4398890678207961E-6</v>
      </c>
      <c r="E6" s="423">
        <f>vkm_GW_PW*SUMIFS(TableVerdeelsleutelVkm[LPG],TableVerdeelsleutelVkm[Voertuigtype],"Lichte voertuigen")*SUMIFS(TableECFTransport[EnergieConsumptieFactor (PJ per km)],TableECFTransport[Index],CONCATENATE($A6,"_LPG_LPG"))</f>
        <v>4.8268088439015251E-4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7.5307292832823766E-2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1.8149045657851408E-2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4.182177233769983E-3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2.4336371251563495E-7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4.0257728807148285E-2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1.0802583197539088E-6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1.7913376037999871E-3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1.0456042127293223E-6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1.9889191247925429E-6</v>
      </c>
      <c r="E8" s="423">
        <f>vkm_NGW_PW*SUMIFS(TableVerdeelsleutelVkm[LPG],TableVerdeelsleutelVkm[Voertuigtype],"Lichte voertuigen")*SUMIFS(TableECFTransport[EnergieConsumptieFactor (PJ per km)],TableECFTransport[Index],CONCATENATE($A8,"_LPG_LPG"))</f>
        <v>1.2225679171912847E-4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1.7956803896202848E-2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4.6249493992851793E-3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1.0108490202037316E-3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5.1621005142827233E-9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1.0950272567519254E-3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2.7657613338950479E-8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4.8725061689333971E-5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2.9980682752574662E-6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3.3438954671689086E-6</v>
      </c>
      <c r="E10" s="423">
        <f>vkm_SW_PW*SUMIFS(TableVerdeelsleutelVkm[LPG],TableVerdeelsleutelVkm[Voertuigtype],"Lichte voertuigen")*SUMIFS(TableECFTransport[EnergieConsumptieFactor (PJ per km)],TableECFTransport[Index],CONCATENATE($A10,"_LPG_LPG"))</f>
        <v>2.666341668459229E-4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3.8868316106580897E-2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8.5892214536971261E-3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2.1229060941400776E-3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1.5347382951655646E-7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2.3781307220237181E-2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7.0119137767921085E-7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1.058193480579945E-3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3.0093304310225935</v>
      </c>
      <c r="C14" s="22"/>
      <c r="D14" s="22">
        <f t="shared" ref="D14:M14" si="0">((D5)*10^9/3600)+D12</f>
        <v>3.5479732388284022</v>
      </c>
      <c r="E14" s="22">
        <f t="shared" si="0"/>
        <v>242.10328970977889</v>
      </c>
      <c r="F14" s="22"/>
      <c r="G14" s="22">
        <f t="shared" si="0"/>
        <v>54796.243366595801</v>
      </c>
      <c r="H14" s="22">
        <f t="shared" si="0"/>
        <v>8712.5071161512442</v>
      </c>
      <c r="I14" s="22"/>
      <c r="J14" s="22"/>
      <c r="K14" s="22"/>
      <c r="L14" s="22"/>
      <c r="M14" s="22">
        <f t="shared" si="0"/>
        <v>2837.2745817175155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0.21032146160017959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0.63292677469057024</v>
      </c>
      <c r="C18" s="24"/>
      <c r="D18" s="24">
        <f t="shared" ref="D18:M18" si="1">D14*D16</f>
        <v>0.71669059424333725</v>
      </c>
      <c r="E18" s="24">
        <f t="shared" si="1"/>
        <v>54.957446764119808</v>
      </c>
      <c r="F18" s="24"/>
      <c r="G18" s="24">
        <f t="shared" si="1"/>
        <v>14630.59697888108</v>
      </c>
      <c r="H18" s="24">
        <f t="shared" si="1"/>
        <v>2169.4142719216597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9.7759960578139936E-5</v>
      </c>
      <c r="C50" s="316">
        <f t="shared" ref="C50:P50" si="2">SUM(C51:C52)</f>
        <v>0</v>
      </c>
      <c r="D50" s="316">
        <f t="shared" si="2"/>
        <v>0</v>
      </c>
      <c r="E50" s="316">
        <f t="shared" si="2"/>
        <v>0</v>
      </c>
      <c r="F50" s="316">
        <f t="shared" si="2"/>
        <v>0</v>
      </c>
      <c r="G50" s="316">
        <f t="shared" si="2"/>
        <v>1.9498416877460702E-2</v>
      </c>
      <c r="H50" s="316">
        <f t="shared" si="2"/>
        <v>0</v>
      </c>
      <c r="I50" s="316">
        <f t="shared" si="2"/>
        <v>0</v>
      </c>
      <c r="J50" s="316">
        <f t="shared" si="2"/>
        <v>0</v>
      </c>
      <c r="K50" s="316">
        <f t="shared" si="2"/>
        <v>0</v>
      </c>
      <c r="L50" s="316">
        <f t="shared" si="2"/>
        <v>0</v>
      </c>
      <c r="M50" s="316">
        <f t="shared" si="2"/>
        <v>8.6180925900406315E-4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9.7759960578139936E-5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1.9498416877460702E-2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8.6180925900406315E-4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27.15554460503887</v>
      </c>
      <c r="C54" s="22">
        <f t="shared" ref="C54:P54" si="3">(C50)*10^9/3600</f>
        <v>0</v>
      </c>
      <c r="D54" s="22">
        <f t="shared" si="3"/>
        <v>0</v>
      </c>
      <c r="E54" s="22">
        <f t="shared" si="3"/>
        <v>0</v>
      </c>
      <c r="F54" s="22">
        <f t="shared" si="3"/>
        <v>0</v>
      </c>
      <c r="G54" s="22">
        <f t="shared" si="3"/>
        <v>5416.2269104057505</v>
      </c>
      <c r="H54" s="22">
        <f t="shared" si="3"/>
        <v>0</v>
      </c>
      <c r="I54" s="22">
        <f t="shared" si="3"/>
        <v>0</v>
      </c>
      <c r="J54" s="22">
        <f t="shared" si="3"/>
        <v>0</v>
      </c>
      <c r="K54" s="22">
        <f t="shared" si="3"/>
        <v>0</v>
      </c>
      <c r="L54" s="22">
        <f t="shared" si="3"/>
        <v>0</v>
      </c>
      <c r="M54" s="22">
        <f t="shared" si="3"/>
        <v>239.39146083446201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0.21032146160017959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5.7113938318806463</v>
      </c>
      <c r="C58" s="24">
        <f t="shared" ref="C58:P58" ca="1" si="4">C54*C56</f>
        <v>0</v>
      </c>
      <c r="D58" s="24">
        <f t="shared" si="4"/>
        <v>0</v>
      </c>
      <c r="E58" s="24">
        <f t="shared" si="4"/>
        <v>0</v>
      </c>
      <c r="F58" s="24">
        <f t="shared" si="4"/>
        <v>0</v>
      </c>
      <c r="G58" s="24">
        <f t="shared" si="4"/>
        <v>1446.1325850783355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2354.6158892258645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2354.6158892258645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2021-06-29T16:40:26Z</dcterms:modified>
</cp:coreProperties>
</file>