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C48" i="18"/>
  <c r="H48" i="18"/>
  <c r="N6" i="17"/>
  <c r="L6" i="17"/>
  <c r="F6" i="17"/>
  <c r="D6" i="17"/>
  <c r="C6" i="17"/>
  <c r="N16" i="16"/>
  <c r="L16" i="16"/>
  <c r="F16" i="16"/>
  <c r="D16" i="16"/>
  <c r="C16" i="16"/>
  <c r="B16" i="16"/>
  <c r="B13" i="15"/>
  <c r="E48" i="18" l="1"/>
  <c r="E8" i="18" s="1"/>
  <c r="E10" i="18" s="1"/>
  <c r="I48" i="18"/>
  <c r="H8" i="18" s="1"/>
  <c r="H10" i="18" s="1"/>
  <c r="F48" i="18"/>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<sst xmlns="http://schemas.openxmlformats.org/spreadsheetml/2006/main" count="2565" uniqueCount="965">
  <si>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</si>
  <si>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</si>
  <si>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</si>
  <si>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</si>
  <si>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</si>
  <si>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</si>
  <si>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</si>
  <si>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</si>
  <si>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</si>
  <si>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</si>
  <si>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</si>
  <si>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</si>
  <si>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</si>
  <si>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</si>
  <si>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</si>
  <si>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</si>
  <si>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</si>
  <si>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</si>
  <si>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</si>
  <si>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</si>
  <si>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</si>
  <si>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</si>
  <si>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</si>
  <si>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</si>
  <si>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</si>
  <si>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</si>
  <si>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</si>
  <si>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</si>
  <si>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</si>
  <si>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</si>
  <si>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</si>
  <si>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</si>
  <si>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</si>
  <si>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</si>
  <si>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</si>
  <si>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</si>
  <si>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</si>
  <si>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</si>
  <si>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</si>
  <si>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</si>
  <si>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</si>
  <si>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</si>
  <si>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</si>
  <si>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</si>
  <si>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</si>
  <si>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</si>
  <si>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</si>
  <si>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</si>
  <si>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</si>
  <si>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</si>
  <si>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</si>
  <si>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</si>
  <si>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</si>
  <si>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</si>
  <si>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</si>
  <si>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</si>
  <si>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</si>
  <si>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</si>
  <si>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</si>
  <si>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</si>
  <si>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</si>
  <si>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</si>
  <si>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</si>
  <si>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</si>
  <si>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</si>
  <si>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</si>
  <si>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</si>
  <si>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</si>
  <si>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</si>
  <si>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</si>
  <si>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</si>
  <si>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</si>
  <si>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</si>
  <si>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</si>
  <si>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</si>
  <si>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</si>
  <si>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</si>
  <si>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</si>
  <si>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</si>
  <si>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</si>
  <si>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</si>
  <si>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</si>
  <si>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</si>
  <si>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</si>
  <si>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</si>
  <si>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</si>
  <si>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</si>
  <si>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</si>
  <si>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</si>
  <si>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</si>
  <si>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</si>
  <si>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</si>
  <si>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</si>
  <si>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</si>
  <si>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</si>
  <si>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</si>
  <si>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</si>
  <si>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</si>
  <si>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</si>
  <si>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</si>
  <si>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</si>
  <si>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</si>
  <si>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</si>
  <si>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</si>
  <si>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</si>
  <si>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</si>
  <si>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</si>
  <si>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</si>
  <si>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</si>
  <si>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</si>
  <si>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</si>
  <si>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</si>
  <si>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</si>
  <si>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</si>
  <si>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</si>
  <si>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</si>
  <si>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</si>
  <si>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</si>
  <si>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</si>
  <si>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</si>
  <si>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</si>
  <si>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</si>
  <si>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</si>
  <si>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</si>
  <si>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</si>
  <si>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</si>
  <si>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</si>
  <si>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</si>
  <si>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</si>
  <si>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</si>
  <si>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</si>
  <si>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</si>
  <si>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</si>
  <si>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</si>
  <si>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</si>
  <si>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</si>
  <si>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</si>
  <si>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</si>
  <si>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</si>
  <si>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</si>
  <si>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</si>
  <si>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</si>
  <si>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</si>
  <si>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</si>
  <si>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</si>
  <si>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</si>
  <si>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</si>
  <si>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</si>
  <si>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</si>
  <si>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</si>
  <si>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</si>
  <si>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</si>
  <si>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</si>
  <si>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</si>
  <si>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</si>
  <si>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</si>
  <si>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</si>
  <si>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</si>
  <si>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</si>
  <si>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</si>
  <si>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</si>
  <si>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</si>
  <si>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</si>
  <si>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</si>
  <si>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</si>
  <si>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</si>
  <si>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</si>
  <si>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</si>
  <si>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</si>
  <si>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</si>
  <si>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</si>
  <si>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</si>
  <si>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</si>
  <si>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</si>
  <si>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</si>
  <si>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</si>
  <si>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</si>
  <si>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</si>
  <si>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</si>
  <si>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</si>
  <si>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</si>
  <si>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</si>
  <si>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</si>
  <si>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</si>
  <si>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</si>
  <si>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</si>
  <si>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</si>
  <si>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</si>
  <si>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</si>
  <si>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</si>
  <si>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</si>
  <si>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</si>
  <si>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</si>
  <si>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</si>
  <si>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</si>
  <si>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</si>
  <si>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</si>
  <si>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</si>
  <si>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</si>
  <si>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</si>
  <si>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</si>
  <si>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</si>
  <si>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</si>
  <si>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</si>
  <si>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</si>
  <si>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</si>
  <si>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</si>
  <si>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</si>
  <si>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</si>
  <si>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</si>
  <si>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</si>
  <si>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</si>
  <si>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</si>
  <si>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</si>
  <si>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</si>
  <si>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</si>
  <si>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</si>
  <si>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</si>
  <si>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</si>
  <si>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</si>
  <si>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</si>
  <si>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</si>
  <si>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</si>
  <si>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</si>
  <si>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</si>
  <si>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</si>
  <si>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</si>
  <si>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</si>
  <si>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</si>
  <si>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</si>
  <si>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</si>
  <si>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</si>
  <si>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</si>
  <si>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</si>
  <si>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</si>
  <si>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</si>
  <si>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</si>
  <si>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</si>
  <si>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</si>
  <si>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</si>
  <si>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</si>
  <si>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</si>
  <si>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</si>
  <si>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</si>
  <si>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</si>
  <si>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</si>
  <si>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</si>
  <si>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</si>
  <si>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</si>
  <si>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</si>
  <si>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</si>
  <si>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</si>
  <si>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</si>
  <si>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</si>
  <si>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</si>
  <si>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</si>
  <si>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</si>
  <si>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</si>
  <si>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</si>
  <si>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</si>
  <si>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</si>
  <si>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</si>
  <si>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</si>
  <si>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</si>
  <si>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</si>
  <si>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</si>
  <si>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</si>
  <si>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</si>
  <si>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</si>
  <si>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</si>
  <si>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</si>
  <si>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</si>
  <si>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</si>
  <si>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</si>
  <si>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</si>
  <si>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</si>
  <si>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</si>
  <si>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</si>
  <si>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</si>
  <si>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</si>
  <si>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</si>
  <si>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</si>
  <si>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</si>
  <si>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</si>
  <si>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</si>
  <si>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</si>
  <si>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</si>
  <si>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</si>
  <si>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</si>
  <si>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</si>
  <si>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</si>
  <si>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</si>
  <si>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</si>
  <si>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</si>
  <si>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</si>
  <si>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</si>
  <si>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</si>
  <si>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</si>
  <si>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</si>
  <si>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</si>
  <si>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</si>
  <si>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</si>
  <si>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</si>
  <si>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</si>
  <si>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</si>
  <si>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</si>
  <si>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</si>
  <si>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</si>
  <si>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</si>
  <si>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</si>
  <si>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</si>
  <si>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</si>
  <si>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</si>
  <si>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</si>
  <si>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</si>
  <si>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</si>
  <si>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</si>
  <si>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</si>
  <si>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</si>
  <si>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</si>
  <si>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</si>
  <si>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</si>
  <si>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</si>
  <si>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</si>
  <si>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</si>
  <si>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</si>
  <si>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</si>
  <si>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</si>
  <si>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</si>
  <si>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</si>
  <si>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</si>
  <si>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</si>
  <si>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</si>
  <si>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</si>
  <si>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</si>
  <si>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</si>
  <si>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</si>
  <si>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</si>
  <si>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</si>
  <si>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</si>
  <si>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</si>
  <si>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</si>
  <si>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</si>
  <si>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</si>
  <si>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</si>
  <si>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</si>
  <si>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</si>
  <si>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</si>
  <si>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</si>
  <si>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</si>
  <si>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</si>
  <si>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</si>
  <si>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</si>
  <si>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</si>
  <si>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</si>
  <si>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</si>
  <si>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</si>
  <si>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</si>
  <si>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</si>
  <si>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</si>
  <si>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</si>
  <si>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</si>
  <si>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</si>
  <si>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</si>
  <si>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</si>
  <si>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</si>
  <si>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</si>
  <si>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</si>
  <si>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</si>
  <si>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</si>
  <si>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</si>
  <si>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</si>
  <si>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</si>
  <si>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</si>
  <si>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</si>
  <si>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</si>
  <si>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</si>
  <si>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</si>
  <si>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</si>
  <si>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</si>
  <si>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</si>
  <si>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</si>
  <si>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</si>
  <si>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</si>
  <si>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</si>
  <si>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</si>
  <si>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</si>
  <si>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</si>
  <si>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</si>
  <si>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</si>
  <si>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</si>
  <si>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</si>
  <si>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</si>
  <si>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</si>
  <si>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</si>
  <si>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</si>
  <si>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</si>
  <si>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</si>
  <si>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</si>
  <si>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</si>
  <si>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</si>
  <si>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</si>
  <si>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</si>
  <si>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</si>
  <si>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</si>
  <si>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</si>
  <si>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</si>
  <si>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</si>
  <si>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</si>
  <si>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</si>
  <si>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</si>
  <si>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</si>
  <si>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</si>
  <si>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</si>
  <si>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</si>
  <si>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</si>
  <si>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</si>
  <si>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</si>
  <si>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</si>
  <si>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</si>
  <si>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</si>
  <si>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</si>
  <si>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</si>
  <si>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</si>
  <si>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</si>
  <si>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</si>
  <si>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</si>
  <si>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</si>
  <si>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</si>
  <si>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</si>
  <si>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</si>
  <si>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</si>
  <si>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</si>
  <si>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</si>
  <si>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</si>
  <si>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</si>
  <si>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</si>
  <si>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</si>
  <si>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</si>
  <si>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</si>
  <si>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</si>
  <si>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</si>
  <si>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</si>
  <si>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</si>
  <si>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</si>
  <si>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</si>
  <si>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</si>
  <si>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</si>
  <si>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</si>
  <si>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</si>
  <si>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</si>
  <si>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</si>
  <si>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</si>
  <si>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</si>
  <si>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</si>
  <si>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</si>
  <si>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</si>
  <si>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</si>
  <si>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</si>
  <si>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</si>
  <si>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</si>
  <si>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</si>
  <si>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</si>
  <si>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</si>
  <si>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</si>
  <si>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</si>
  <si>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</si>
  <si>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</si>
  <si>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</si>
  <si>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</si>
  <si>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</si>
  <si>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</si>
  <si>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</si>
  <si>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</si>
  <si>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</si>
  <si>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</si>
  <si>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</si>
  <si>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</si>
  <si>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</si>
  <si>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</si>
  <si>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</si>
  <si>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</si>
  <si>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</si>
  <si>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</si>
  <si>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</si>
  <si>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</si>
  <si>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</si>
  <si>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</si>
  <si>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</si>
  <si>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</si>
  <si>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</si>
  <si>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</si>
  <si>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</si>
  <si>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</si>
  <si>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</si>
  <si>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</si>
  <si>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</si>
  <si>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</si>
  <si>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</si>
  <si>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</si>
  <si>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</si>
  <si>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</si>
  <si>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</si>
  <si>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</si>
  <si>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</si>
  <si>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</si>
  <si>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</si>
  <si>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</si>
  <si>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</si>
  <si>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</si>
  <si>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</si>
  <si>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</si>
  <si>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</si>
  <si>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</si>
  <si>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</si>
  <si>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</si>
  <si>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</si>
  <si>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</si>
  <si>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</si>
  <si>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</si>
  <si>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</si>
  <si>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</si>
  <si>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</si>
  <si>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</si>
  <si>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</si>
  <si>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</si>
  <si>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</si>
  <si>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</si>
  <si>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</si>
  <si>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</si>
  <si>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</si>
  <si>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</si>
  <si>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</si>
  <si>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</si>
  <si>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</si>
  <si>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</si>
  <si>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</si>
  <si>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</si>
  <si>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</si>
  <si>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</si>
  <si>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</si>
  <si>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</si>
  <si>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</si>
  <si>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</si>
  <si>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</si>
  <si>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</si>
  <si>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</si>
  <si>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</si>
  <si>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</si>
  <si>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</si>
  <si>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</si>
  <si>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</si>
  <si>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</si>
  <si>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</si>
  <si>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</si>
  <si>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</si>
  <si>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</si>
  <si>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</si>
  <si>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</si>
  <si>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</si>
  <si>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</si>
  <si>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</si>
  <si>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</si>
  <si>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</si>
  <si>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</si>
  <si>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</si>
  <si>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</si>
  <si>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</si>
  <si>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</si>
  <si>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</si>
  <si>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</si>
  <si>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</si>
  <si>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</si>
  <si>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</si>
  <si>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</si>
  <si>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</si>
  <si>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</si>
  <si>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</si>
  <si>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</si>
  <si>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</si>
  <si>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</si>
  <si>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</si>
  <si>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</si>
  <si>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</si>
  <si>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</si>
  <si>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</si>
  <si>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</si>
  <si>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</si>
  <si>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</si>
  <si>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</si>
  <si>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</si>
  <si>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</si>
  <si>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</si>
  <si>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</si>
  <si>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</si>
  <si>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</si>
  <si>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</si>
  <si>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</si>
  <si>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</si>
  <si>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</si>
  <si>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</si>
  <si>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</si>
  <si>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</si>
  <si>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</si>
  <si>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</si>
  <si>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</si>
  <si>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</si>
  <si>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</si>
  <si>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</si>
  <si>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</si>
  <si>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</si>
  <si>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</si>
  <si>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</si>
  <si>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</si>
  <si>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</si>
  <si>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</si>
  <si>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</si>
  <si>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</si>
  <si>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</si>
  <si>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</si>
  <si>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</si>
  <si>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</si>
  <si>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</si>
  <si>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</si>
  <si>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</si>
  <si>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</si>
  <si>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</si>
  <si>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</si>
  <si>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</si>
  <si>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</si>
  <si>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</si>
  <si>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</si>
  <si>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</si>
  <si>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</si>
  <si>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</si>
  <si>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</si>
  <si>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</si>
  <si>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</si>
  <si>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</si>
  <si>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</si>
  <si>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</si>
  <si>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</si>
  <si>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</si>
  <si>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</si>
  <si>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</si>
  <si>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</si>
  <si>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</si>
  <si>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</si>
  <si>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</si>
  <si>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</si>
  <si>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</si>
  <si>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</si>
  <si>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</si>
  <si>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</si>
  <si>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</si>
  <si>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</si>
  <si>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</si>
  <si>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</si>
  <si>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</si>
  <si>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</si>
  <si>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</si>
  <si>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</si>
  <si>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</si>
  <si>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</si>
  <si>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</si>
  <si>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</si>
  <si>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</si>
  <si>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</si>
  <si>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</si>
  <si>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</si>
  <si>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</si>
  <si>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</si>
  <si>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</si>
  <si>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</si>
  <si>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</si>
  <si>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</si>
  <si>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</si>
  <si>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</si>
  <si>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</si>
  <si>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</si>
  <si>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</si>
  <si>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</si>
  <si>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</si>
  <si>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</si>
  <si>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</si>
  <si>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</si>
  <si>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</si>
  <si>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</si>
  <si>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</si>
  <si>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</si>
  <si>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</si>
  <si>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</si>
  <si>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</si>
  <si>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</si>
  <si>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</si>
  <si>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</si>
  <si>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</si>
  <si>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</si>
  <si>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</si>
  <si>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</si>
  <si>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</si>
  <si>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</si>
  <si>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</si>
  <si>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</si>
  <si>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</si>
  <si>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</si>
  <si>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</si>
  <si>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</si>
  <si>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</si>
  <si>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</si>
  <si>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</si>
  <si>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</si>
  <si>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</si>
  <si>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</si>
  <si>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</si>
  <si>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</si>
  <si>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</si>
  <si>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</si>
  <si>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</si>
  <si>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</si>
  <si>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</si>
  <si>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</si>
  <si>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</si>
  <si>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</si>
  <si>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</si>
  <si>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</si>
  <si>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</si>
  <si>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</si>
  <si>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</si>
  <si>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</si>
  <si>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</si>
  <si>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</si>
  <si>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</si>
  <si>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</si>
  <si>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</si>
  <si>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</si>
  <si>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</si>
  <si>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</si>
  <si>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</si>
  <si>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</si>
  <si>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</si>
  <si>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</si>
  <si>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</si>
  <si>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</si>
  <si>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</si>
  <si>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</si>
  <si>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</si>
  <si>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</si>
  <si>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</si>
  <si>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</si>
  <si>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</si>
  <si>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</si>
  <si>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</si>
  <si>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</si>
  <si>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</si>
  <si>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</si>
  <si>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</si>
  <si>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</si>
  <si>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</si>
  <si>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</si>
  <si>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</si>
  <si>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</si>
  <si>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</si>
  <si>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</si>
  <si>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</si>
  <si>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</si>
  <si>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</si>
  <si>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</si>
  <si>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</si>
  <si>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</si>
  <si>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</si>
  <si>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</si>
  <si>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</si>
  <si>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</si>
  <si>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</si>
  <si>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</si>
  <si>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</si>
  <si>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</si>
  <si>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</si>
  <si>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</si>
  <si>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</si>
  <si>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</si>
  <si>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</si>
  <si>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</si>
  <si>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</si>
  <si>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</si>
  <si>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</si>
  <si>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</si>
  <si>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</si>
  <si>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</si>
  <si>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</si>
  <si>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</si>
  <si>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</si>
  <si>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</si>
  <si>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</si>
  <si>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</si>
  <si>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</si>
  <si>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</si>
  <si>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</si>
  <si>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</si>
  <si>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</si>
  <si>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</si>
  <si>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</si>
  <si>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</si>
  <si>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</si>
  <si>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</si>
  <si>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</si>
  <si>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</si>
  <si>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</si>
  <si>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</si>
  <si>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</si>
  <si>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</si>
  <si>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</si>
  <si>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</si>
  <si>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</si>
  <si>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</si>
  <si>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</si>
  <si>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</si>
  <si>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</si>
  <si>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</si>
  <si>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</si>
  <si>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</si>
  <si>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</si>
  <si>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</si>
  <si>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</si>
  <si>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</si>
  <si>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</si>
  <si>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</si>
  <si>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</si>
  <si>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</si>
  <si>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</si>
  <si>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</si>
  <si>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</si>
  <si>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</si>
  <si>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</si>
  <si>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</si>
  <si>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</si>
  <si>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</si>
  <si>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</si>
  <si>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</si>
  <si>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</si>
  <si>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</si>
  <si>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</si>
  <si>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</si>
  <si>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</si>
  <si>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</si>
  <si>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</si>
  <si>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</si>
  <si>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</si>
  <si>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</si>
  <si>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</si>
  <si>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</si>
  <si>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</si>
  <si>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</si>
  <si>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</si>
  <si>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</si>
  <si>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</si>
  <si>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</si>
  <si>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</si>
  <si>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</si>
  <si>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</si>
  <si>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</si>
  <si>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</si>
  <si>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</si>
  <si>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</si>
  <si>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</si>
  <si>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</si>
  <si>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</si>
  <si>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</si>
  <si>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</si>
  <si>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</si>
  <si>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</si>
  <si>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</si>
  <si>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</si>
  <si>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</si>
  <si>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</si>
  <si>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</si>
  <si>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</si>
  <si>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</si>
  <si>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</si>
  <si>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</si>
  <si>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</si>
  <si>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</si>
  <si>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</si>
  <si>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</si>
  <si>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</si>
  <si>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</si>
  <si>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</si>
  <si>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</si>
  <si>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</si>
  <si>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</si>
  <si>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</si>
  <si>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</si>
  <si>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</si>
  <si>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</si>
  <si>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</si>
  <si>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</si>
  <si>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</si>
  <si>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</si>
  <si>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</si>
  <si>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</si>
  <si>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</si>
  <si>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</si>
  <si>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</si>
  <si>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</si>
  <si>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</si>
  <si>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</si>
  <si>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</si>
  <si>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</si>
  <si>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</si>
  <si>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</si>
  <si>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</si>
  <si>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</si>
  <si>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</si>
  <si>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</si>
  <si>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</si>
  <si>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</si>
  <si>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</si>
  <si>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</si>
  <si>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</si>
  <si>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</si>
  <si>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</si>
  <si>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</si>
  <si>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</si>
  <si>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</si>
  <si>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</si>
  <si>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</si>
  <si>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</si>
  <si>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</si>
  <si>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</si>
  <si>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</si>
  <si>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</si>
  <si>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</si>
  <si>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</si>
  <si>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</si>
  <si>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</si>
  <si>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</si>
  <si>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</si>
  <si>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</si>
  <si>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</si>
  <si>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</si>
  <si>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</si>
  <si>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</si>
  <si>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</si>
  <si>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</si>
  <si>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</si>
  <si>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</si>
  <si>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</si>
  <si>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</si>
  <si>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</si>
  <si>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</si>
  <si>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</si>
  <si>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</si>
  <si>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</si>
  <si>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</si>
  <si>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</si>
  <si>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</si>
  <si>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</si>
  <si>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</si>
  <si>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23062</t>
  </si>
  <si>
    <t>OVERIJSE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</si>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</sst>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23062</v>
      </c>
      <c r="B6" s="386"/>
      <c r="C6" s="387"/>
    </row>
    <row r="7" spans="1:7" s="384" customFormat="1" ht="15.75" customHeight="1">
      <c r="A7" s="388" t="str">
        <f>txtMunicipality</f>
        <v>OVERIJSE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30826.00853104972</v>
      </c>
      <c r="D10" s="676">
        <f ca="1">tertiair!C16</f>
        <v>0</v>
      </c>
      <c r="E10" s="676">
        <f ca="1">tertiair!D16</f>
        <v>38041.561673497716</v>
      </c>
      <c r="F10" s="676">
        <f>tertiair!E16</f>
        <v>295.17239273325254</v>
      </c>
      <c r="G10" s="676">
        <f ca="1">tertiair!F16</f>
        <v>6000.6004947292731</v>
      </c>
      <c r="H10" s="676">
        <f>tertiair!G16</f>
        <v>0</v>
      </c>
      <c r="I10" s="676">
        <f>tertiair!H16</f>
        <v>0</v>
      </c>
      <c r="J10" s="676">
        <f>tertiair!I16</f>
        <v>0</v>
      </c>
      <c r="K10" s="676">
        <f>tertiair!J16</f>
        <v>0</v>
      </c>
      <c r="L10" s="676">
        <f>tertiair!K16</f>
        <v>0</v>
      </c>
      <c r="M10" s="676">
        <f ca="1">tertiair!L16</f>
        <v>0</v>
      </c>
      <c r="N10" s="676">
        <f>tertiair!M16</f>
        <v>0</v>
      </c>
      <c r="O10" s="676">
        <f ca="1">tertiair!N16</f>
        <v>3570.8120845482476</v>
      </c>
      <c r="P10" s="676">
        <f>tertiair!O16</f>
        <v>0</v>
      </c>
      <c r="Q10" s="677">
        <f>tertiair!P16</f>
        <v>0</v>
      </c>
      <c r="R10" s="679">
        <f ca="1">SUM(C10:Q10)</f>
        <v>78734.155176558197</v>
      </c>
      <c r="S10" s="68"/>
    </row>
    <row r="11" spans="1:19" s="445" customFormat="1">
      <c r="A11" s="791" t="s">
        <v>220</v>
      </c>
      <c r="B11" s="796"/>
      <c r="C11" s="676">
        <f>huishoudens!B8</f>
        <v>46712.405880590763</v>
      </c>
      <c r="D11" s="676">
        <f>huishoudens!C8</f>
        <v>0</v>
      </c>
      <c r="E11" s="676">
        <f>huishoudens!D8</f>
        <v>136763.95896791105</v>
      </c>
      <c r="F11" s="676">
        <f>huishoudens!E8</f>
        <v>2181.7788212867367</v>
      </c>
      <c r="G11" s="676">
        <f>huishoudens!F8</f>
        <v>66516.101911609745</v>
      </c>
      <c r="H11" s="676">
        <f>huishoudens!G8</f>
        <v>0</v>
      </c>
      <c r="I11" s="676">
        <f>huishoudens!H8</f>
        <v>0</v>
      </c>
      <c r="J11" s="676">
        <f>huishoudens!I8</f>
        <v>0</v>
      </c>
      <c r="K11" s="676">
        <f>huishoudens!J8</f>
        <v>1206.9114919275569</v>
      </c>
      <c r="L11" s="676">
        <f>huishoudens!K8</f>
        <v>0</v>
      </c>
      <c r="M11" s="676">
        <f>huishoudens!L8</f>
        <v>0</v>
      </c>
      <c r="N11" s="676">
        <f>huishoudens!M8</f>
        <v>0</v>
      </c>
      <c r="O11" s="676">
        <f>huishoudens!N8</f>
        <v>13956.687234916564</v>
      </c>
      <c r="P11" s="676">
        <f>huishoudens!O8</f>
        <v>161.02333333333334</v>
      </c>
      <c r="Q11" s="677">
        <f>huishoudens!P8</f>
        <v>247.86666666666667</v>
      </c>
      <c r="R11" s="679">
        <f>SUM(C11:Q11)</f>
        <v>267746.73430824239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3528.4792186321583</v>
      </c>
      <c r="D13" s="676">
        <f>industrie!C18</f>
        <v>0</v>
      </c>
      <c r="E13" s="676">
        <f>industrie!D18</f>
        <v>3598.4888233502343</v>
      </c>
      <c r="F13" s="676">
        <f>industrie!E18</f>
        <v>36.552674091162004</v>
      </c>
      <c r="G13" s="676">
        <f>industrie!F18</f>
        <v>1322.2581415099296</v>
      </c>
      <c r="H13" s="676">
        <f>industrie!G18</f>
        <v>0</v>
      </c>
      <c r="I13" s="676">
        <f>industrie!H18</f>
        <v>0</v>
      </c>
      <c r="J13" s="676">
        <f>industrie!I18</f>
        <v>0</v>
      </c>
      <c r="K13" s="676">
        <f>industrie!J18</f>
        <v>7.114607912018406</v>
      </c>
      <c r="L13" s="676">
        <f>industrie!K18</f>
        <v>0</v>
      </c>
      <c r="M13" s="676">
        <f>industrie!L18</f>
        <v>0</v>
      </c>
      <c r="N13" s="676">
        <f>industrie!M18</f>
        <v>0</v>
      </c>
      <c r="O13" s="676">
        <f>industrie!N18</f>
        <v>267.97273579437876</v>
      </c>
      <c r="P13" s="676">
        <f>industrie!O18</f>
        <v>0</v>
      </c>
      <c r="Q13" s="677">
        <f>industrie!P18</f>
        <v>0</v>
      </c>
      <c r="R13" s="679">
        <f>SUM(C13:Q13)</f>
        <v>8760.8662012898822</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81066.893630272636</v>
      </c>
      <c r="D16" s="709">
        <f t="shared" ref="D16:R16" ca="1" si="0">SUM(D9:D15)</f>
        <v>0</v>
      </c>
      <c r="E16" s="709">
        <f t="shared" ca="1" si="0"/>
        <v>178404.009464759</v>
      </c>
      <c r="F16" s="709">
        <f t="shared" si="0"/>
        <v>2513.5038881111514</v>
      </c>
      <c r="G16" s="709">
        <f t="shared" ca="1" si="0"/>
        <v>73838.960547848939</v>
      </c>
      <c r="H16" s="709">
        <f t="shared" si="0"/>
        <v>0</v>
      </c>
      <c r="I16" s="709">
        <f t="shared" si="0"/>
        <v>0</v>
      </c>
      <c r="J16" s="709">
        <f t="shared" si="0"/>
        <v>0</v>
      </c>
      <c r="K16" s="709">
        <f t="shared" si="0"/>
        <v>1214.0260998395752</v>
      </c>
      <c r="L16" s="709">
        <f t="shared" si="0"/>
        <v>0</v>
      </c>
      <c r="M16" s="709">
        <f t="shared" ca="1" si="0"/>
        <v>0</v>
      </c>
      <c r="N16" s="709">
        <f t="shared" si="0"/>
        <v>0</v>
      </c>
      <c r="O16" s="709">
        <f t="shared" ca="1" si="0"/>
        <v>17795.47205525919</v>
      </c>
      <c r="P16" s="709">
        <f t="shared" si="0"/>
        <v>161.02333333333334</v>
      </c>
      <c r="Q16" s="709">
        <f t="shared" si="0"/>
        <v>247.86666666666667</v>
      </c>
      <c r="R16" s="709">
        <f t="shared" ca="1" si="0"/>
        <v>355241.75568609044</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21.402865245262447</v>
      </c>
      <c r="D19" s="676">
        <f>transport!C54</f>
        <v>0</v>
      </c>
      <c r="E19" s="676">
        <f>transport!D54</f>
        <v>0</v>
      </c>
      <c r="F19" s="676">
        <f>transport!E54</f>
        <v>0</v>
      </c>
      <c r="G19" s="676">
        <f>transport!F54</f>
        <v>0</v>
      </c>
      <c r="H19" s="676">
        <f>transport!G54</f>
        <v>4268.8436703150592</v>
      </c>
      <c r="I19" s="676">
        <f>transport!H54</f>
        <v>0</v>
      </c>
      <c r="J19" s="676">
        <f>transport!I54</f>
        <v>0</v>
      </c>
      <c r="K19" s="676">
        <f>transport!J54</f>
        <v>0</v>
      </c>
      <c r="L19" s="676">
        <f>transport!K54</f>
        <v>0</v>
      </c>
      <c r="M19" s="676">
        <f>transport!L54</f>
        <v>0</v>
      </c>
      <c r="N19" s="676">
        <f>transport!M54</f>
        <v>188.67834365420114</v>
      </c>
      <c r="O19" s="676">
        <f>transport!N54</f>
        <v>0</v>
      </c>
      <c r="P19" s="676">
        <f>transport!O54</f>
        <v>0</v>
      </c>
      <c r="Q19" s="677">
        <f>transport!P54</f>
        <v>0</v>
      </c>
      <c r="R19" s="679">
        <f>SUM(C19:Q19)</f>
        <v>4478.9248792145227</v>
      </c>
      <c r="S19" s="68"/>
    </row>
    <row r="20" spans="1:19" s="445" customFormat="1">
      <c r="A20" s="791" t="s">
        <v>302</v>
      </c>
      <c r="B20" s="796"/>
      <c r="C20" s="676">
        <f>transport!B14</f>
        <v>14.40807642341335</v>
      </c>
      <c r="D20" s="676">
        <f>transport!C14</f>
        <v>0</v>
      </c>
      <c r="E20" s="676">
        <f>transport!D14</f>
        <v>17.429193622737532</v>
      </c>
      <c r="F20" s="676">
        <f>transport!E14</f>
        <v>1261.9621175212365</v>
      </c>
      <c r="G20" s="676">
        <f>transport!F14</f>
        <v>0</v>
      </c>
      <c r="H20" s="676">
        <f>transport!G14</f>
        <v>239687.19083354445</v>
      </c>
      <c r="I20" s="676">
        <f>transport!H14</f>
        <v>43340.617439623915</v>
      </c>
      <c r="J20" s="676">
        <f>transport!I14</f>
        <v>0</v>
      </c>
      <c r="K20" s="676">
        <f>transport!J14</f>
        <v>0</v>
      </c>
      <c r="L20" s="676">
        <f>transport!K14</f>
        <v>0</v>
      </c>
      <c r="M20" s="676">
        <f>transport!L14</f>
        <v>0</v>
      </c>
      <c r="N20" s="676">
        <f>transport!M14</f>
        <v>12650.277524776542</v>
      </c>
      <c r="O20" s="676">
        <f>transport!N14</f>
        <v>0</v>
      </c>
      <c r="P20" s="676">
        <f>transport!O14</f>
        <v>0</v>
      </c>
      <c r="Q20" s="677">
        <f>transport!P14</f>
        <v>0</v>
      </c>
      <c r="R20" s="679">
        <f>SUM(C20:Q20)</f>
        <v>296971.88518551225</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35.810941668675795</v>
      </c>
      <c r="D22" s="794">
        <f t="shared" ref="D22:R22" si="1">SUM(D18:D21)</f>
        <v>0</v>
      </c>
      <c r="E22" s="794">
        <f t="shared" si="1"/>
        <v>17.429193622737532</v>
      </c>
      <c r="F22" s="794">
        <f t="shared" si="1"/>
        <v>1261.9621175212365</v>
      </c>
      <c r="G22" s="794">
        <f t="shared" si="1"/>
        <v>0</v>
      </c>
      <c r="H22" s="794">
        <f t="shared" si="1"/>
        <v>243956.0345038595</v>
      </c>
      <c r="I22" s="794">
        <f t="shared" si="1"/>
        <v>43340.617439623915</v>
      </c>
      <c r="J22" s="794">
        <f t="shared" si="1"/>
        <v>0</v>
      </c>
      <c r="K22" s="794">
        <f t="shared" si="1"/>
        <v>0</v>
      </c>
      <c r="L22" s="794">
        <f t="shared" si="1"/>
        <v>0</v>
      </c>
      <c r="M22" s="794">
        <f t="shared" si="1"/>
        <v>0</v>
      </c>
      <c r="N22" s="794">
        <f t="shared" si="1"/>
        <v>12838.955868430743</v>
      </c>
      <c r="O22" s="794">
        <f t="shared" si="1"/>
        <v>0</v>
      </c>
      <c r="P22" s="794">
        <f t="shared" si="1"/>
        <v>0</v>
      </c>
      <c r="Q22" s="794">
        <f t="shared" si="1"/>
        <v>0</v>
      </c>
      <c r="R22" s="794">
        <f t="shared" si="1"/>
        <v>301450.81006472674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767.37183810121996</v>
      </c>
      <c r="D24" s="676">
        <f>+landbouw!C8</f>
        <v>0</v>
      </c>
      <c r="E24" s="676">
        <f>+landbouw!D8</f>
        <v>1627.1571591720945</v>
      </c>
      <c r="F24" s="676">
        <f>+landbouw!E8</f>
        <v>7.2291568709109288</v>
      </c>
      <c r="G24" s="676">
        <f>+landbouw!F8</f>
        <v>2504.1889760715417</v>
      </c>
      <c r="H24" s="676">
        <f>+landbouw!G8</f>
        <v>0</v>
      </c>
      <c r="I24" s="676">
        <f>+landbouw!H8</f>
        <v>0</v>
      </c>
      <c r="J24" s="676">
        <f>+landbouw!I8</f>
        <v>0</v>
      </c>
      <c r="K24" s="676">
        <f>+landbouw!J8</f>
        <v>94.92762886902446</v>
      </c>
      <c r="L24" s="676">
        <f>+landbouw!K8</f>
        <v>0</v>
      </c>
      <c r="M24" s="676">
        <f>+landbouw!L8</f>
        <v>0</v>
      </c>
      <c r="N24" s="676">
        <f>+landbouw!M8</f>
        <v>0</v>
      </c>
      <c r="O24" s="676">
        <f>+landbouw!N8</f>
        <v>0</v>
      </c>
      <c r="P24" s="676">
        <f>+landbouw!O8</f>
        <v>0</v>
      </c>
      <c r="Q24" s="677">
        <f>+landbouw!P8</f>
        <v>0</v>
      </c>
      <c r="R24" s="679">
        <f>SUM(C24:Q24)</f>
        <v>5000.8747590847915</v>
      </c>
      <c r="S24" s="68"/>
    </row>
    <row r="25" spans="1:19" s="445" customFormat="1" ht="15" thickBot="1">
      <c r="A25" s="813" t="s">
        <v>879</v>
      </c>
      <c r="B25" s="979"/>
      <c r="C25" s="980">
        <f>IF(Onbekend_ele_kWh="---",0,Onbekend_ele_kWh)/1000+IF(REST_rest_ele_kWh="---",0,REST_rest_ele_kWh)/1000</f>
        <v>1612.3379991197401</v>
      </c>
      <c r="D25" s="980"/>
      <c r="E25" s="980">
        <f>IF(onbekend_gas_kWh="---",0,onbekend_gas_kWh)/1000+IF(REST_rest_gas_kWh="---",0,REST_rest_gas_kWh)/1000</f>
        <v>6339.7543217984003</v>
      </c>
      <c r="F25" s="980"/>
      <c r="G25" s="980"/>
      <c r="H25" s="980"/>
      <c r="I25" s="980"/>
      <c r="J25" s="980"/>
      <c r="K25" s="980"/>
      <c r="L25" s="980"/>
      <c r="M25" s="980"/>
      <c r="N25" s="980"/>
      <c r="O25" s="980"/>
      <c r="P25" s="980"/>
      <c r="Q25" s="981"/>
      <c r="R25" s="679">
        <f>SUM(C25:Q25)</f>
        <v>7952.0923209181401</v>
      </c>
      <c r="S25" s="68"/>
    </row>
    <row r="26" spans="1:19" s="445" customFormat="1" ht="15.75" thickBot="1">
      <c r="A26" s="682" t="s">
        <v>880</v>
      </c>
      <c r="B26" s="799"/>
      <c r="C26" s="794">
        <f>SUM(C24:C25)</f>
        <v>2379.7098372209603</v>
      </c>
      <c r="D26" s="794">
        <f t="shared" ref="D26:R26" si="2">SUM(D24:D25)</f>
        <v>0</v>
      </c>
      <c r="E26" s="794">
        <f t="shared" si="2"/>
        <v>7966.9114809704952</v>
      </c>
      <c r="F26" s="794">
        <f t="shared" si="2"/>
        <v>7.2291568709109288</v>
      </c>
      <c r="G26" s="794">
        <f t="shared" si="2"/>
        <v>2504.1889760715417</v>
      </c>
      <c r="H26" s="794">
        <f t="shared" si="2"/>
        <v>0</v>
      </c>
      <c r="I26" s="794">
        <f t="shared" si="2"/>
        <v>0</v>
      </c>
      <c r="J26" s="794">
        <f t="shared" si="2"/>
        <v>0</v>
      </c>
      <c r="K26" s="794">
        <f t="shared" si="2"/>
        <v>94.92762886902446</v>
      </c>
      <c r="L26" s="794">
        <f t="shared" si="2"/>
        <v>0</v>
      </c>
      <c r="M26" s="794">
        <f t="shared" si="2"/>
        <v>0</v>
      </c>
      <c r="N26" s="794">
        <f t="shared" si="2"/>
        <v>0</v>
      </c>
      <c r="O26" s="794">
        <f t="shared" si="2"/>
        <v>0</v>
      </c>
      <c r="P26" s="794">
        <f t="shared" si="2"/>
        <v>0</v>
      </c>
      <c r="Q26" s="794">
        <f t="shared" si="2"/>
        <v>0</v>
      </c>
      <c r="R26" s="794">
        <f t="shared" si="2"/>
        <v>12952.967080002931</v>
      </c>
      <c r="S26" s="68"/>
    </row>
    <row r="27" spans="1:19" s="445" customFormat="1" ht="17.25" thickTop="1" thickBot="1">
      <c r="A27" s="683" t="s">
        <v>115</v>
      </c>
      <c r="B27" s="786"/>
      <c r="C27" s="684">
        <f ca="1">C22+C16+C26</f>
        <v>83482.414409162273</v>
      </c>
      <c r="D27" s="684">
        <f t="shared" ref="D27:R27" ca="1" si="3">D22+D16+D26</f>
        <v>0</v>
      </c>
      <c r="E27" s="684">
        <f t="shared" ca="1" si="3"/>
        <v>186388.35013935223</v>
      </c>
      <c r="F27" s="684">
        <f t="shared" si="3"/>
        <v>3782.6951625032989</v>
      </c>
      <c r="G27" s="684">
        <f t="shared" ca="1" si="3"/>
        <v>76343.149523920481</v>
      </c>
      <c r="H27" s="684">
        <f t="shared" si="3"/>
        <v>243956.0345038595</v>
      </c>
      <c r="I27" s="684">
        <f t="shared" si="3"/>
        <v>43340.617439623915</v>
      </c>
      <c r="J27" s="684">
        <f t="shared" si="3"/>
        <v>0</v>
      </c>
      <c r="K27" s="684">
        <f t="shared" si="3"/>
        <v>1308.9537287085996</v>
      </c>
      <c r="L27" s="684">
        <f t="shared" si="3"/>
        <v>0</v>
      </c>
      <c r="M27" s="684">
        <f t="shared" ca="1" si="3"/>
        <v>0</v>
      </c>
      <c r="N27" s="684">
        <f t="shared" si="3"/>
        <v>12838.955868430743</v>
      </c>
      <c r="O27" s="684">
        <f t="shared" ca="1" si="3"/>
        <v>17795.47205525919</v>
      </c>
      <c r="P27" s="684">
        <f t="shared" si="3"/>
        <v>161.02333333333334</v>
      </c>
      <c r="Q27" s="684">
        <f t="shared" si="3"/>
        <v>247.86666666666667</v>
      </c>
      <c r="R27" s="684">
        <f t="shared" ca="1" si="3"/>
        <v>669645.53283082007</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6605.6256828208825</v>
      </c>
      <c r="D40" s="676">
        <f ca="1">tertiair!C20</f>
        <v>0</v>
      </c>
      <c r="E40" s="676">
        <f ca="1">tertiair!D20</f>
        <v>7684.3954580465388</v>
      </c>
      <c r="F40" s="676">
        <f>tertiair!E20</f>
        <v>67.004133150448325</v>
      </c>
      <c r="G40" s="676">
        <f ca="1">tertiair!F20</f>
        <v>1602.1603320927161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15959.185606110586</v>
      </c>
    </row>
    <row r="41" spans="1:18">
      <c r="A41" s="804" t="s">
        <v>220</v>
      </c>
      <c r="B41" s="811"/>
      <c r="C41" s="676">
        <f ca="1">huishoudens!B12</f>
        <v>10009.880704483021</v>
      </c>
      <c r="D41" s="676">
        <f ca="1">huishoudens!C12</f>
        <v>0</v>
      </c>
      <c r="E41" s="676">
        <f>huishoudens!D12</f>
        <v>27626.319711518034</v>
      </c>
      <c r="F41" s="676">
        <f>huishoudens!E12</f>
        <v>495.26379243208925</v>
      </c>
      <c r="G41" s="676">
        <f>huishoudens!F12</f>
        <v>17759.799210399804</v>
      </c>
      <c r="H41" s="676">
        <f>huishoudens!G12</f>
        <v>0</v>
      </c>
      <c r="I41" s="676">
        <f>huishoudens!H12</f>
        <v>0</v>
      </c>
      <c r="J41" s="676">
        <f>huishoudens!I12</f>
        <v>0</v>
      </c>
      <c r="K41" s="676">
        <f>huishoudens!J12</f>
        <v>427.24666814235513</v>
      </c>
      <c r="L41" s="676">
        <f>huishoudens!K12</f>
        <v>0</v>
      </c>
      <c r="M41" s="676">
        <f>huishoudens!L12</f>
        <v>0</v>
      </c>
      <c r="N41" s="676">
        <f>huishoudens!M12</f>
        <v>0</v>
      </c>
      <c r="O41" s="676">
        <f>huishoudens!N12</f>
        <v>0</v>
      </c>
      <c r="P41" s="676">
        <f>huishoudens!O12</f>
        <v>0</v>
      </c>
      <c r="Q41" s="751">
        <f>huishoudens!P12</f>
        <v>0</v>
      </c>
      <c r="R41" s="832">
        <f t="shared" ca="1" si="4"/>
        <v>56318.510086975301</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756.10869063438372</v>
      </c>
      <c r="D43" s="676">
        <f ca="1">industrie!C22</f>
        <v>0</v>
      </c>
      <c r="E43" s="676">
        <f>industrie!D22</f>
        <v>726.8947423167474</v>
      </c>
      <c r="F43" s="676">
        <f>industrie!E22</f>
        <v>8.2974570186937751</v>
      </c>
      <c r="G43" s="676">
        <f>industrie!F22</f>
        <v>353.0429237831512</v>
      </c>
      <c r="H43" s="676">
        <f>industrie!G22</f>
        <v>0</v>
      </c>
      <c r="I43" s="676">
        <f>industrie!H22</f>
        <v>0</v>
      </c>
      <c r="J43" s="676">
        <f>industrie!I22</f>
        <v>0</v>
      </c>
      <c r="K43" s="676">
        <f>industrie!J22</f>
        <v>2.5185712008545158</v>
      </c>
      <c r="L43" s="676">
        <f>industrie!K22</f>
        <v>0</v>
      </c>
      <c r="M43" s="676">
        <f>industrie!L22</f>
        <v>0</v>
      </c>
      <c r="N43" s="676">
        <f>industrie!M22</f>
        <v>0</v>
      </c>
      <c r="O43" s="676">
        <f>industrie!N22</f>
        <v>0</v>
      </c>
      <c r="P43" s="676">
        <f>industrie!O22</f>
        <v>0</v>
      </c>
      <c r="Q43" s="751">
        <f>industrie!P22</f>
        <v>0</v>
      </c>
      <c r="R43" s="831">
        <f t="shared" ca="1" si="4"/>
        <v>1846.8623849538305</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17371.615077938288</v>
      </c>
      <c r="D46" s="709">
        <f t="shared" ref="D46:Q46" ca="1" si="5">SUM(D39:D45)</f>
        <v>0</v>
      </c>
      <c r="E46" s="709">
        <f t="shared" ca="1" si="5"/>
        <v>36037.609911881322</v>
      </c>
      <c r="F46" s="709">
        <f t="shared" si="5"/>
        <v>570.56538260123136</v>
      </c>
      <c r="G46" s="709">
        <f t="shared" ca="1" si="5"/>
        <v>19715.002466275673</v>
      </c>
      <c r="H46" s="709">
        <f t="shared" si="5"/>
        <v>0</v>
      </c>
      <c r="I46" s="709">
        <f t="shared" si="5"/>
        <v>0</v>
      </c>
      <c r="J46" s="709">
        <f t="shared" si="5"/>
        <v>0</v>
      </c>
      <c r="K46" s="709">
        <f t="shared" si="5"/>
        <v>429.76523934320966</v>
      </c>
      <c r="L46" s="709">
        <f t="shared" si="5"/>
        <v>0</v>
      </c>
      <c r="M46" s="709">
        <f t="shared" ca="1" si="5"/>
        <v>0</v>
      </c>
      <c r="N46" s="709">
        <f t="shared" si="5"/>
        <v>0</v>
      </c>
      <c r="O46" s="709">
        <f t="shared" ca="1" si="5"/>
        <v>0</v>
      </c>
      <c r="P46" s="709">
        <f t="shared" si="5"/>
        <v>0</v>
      </c>
      <c r="Q46" s="709">
        <f t="shared" si="5"/>
        <v>0</v>
      </c>
      <c r="R46" s="709">
        <f ca="1">SUM(R39:R45)</f>
        <v>74124.558078039714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4.5863646669550082</v>
      </c>
      <c r="D49" s="676">
        <f ca="1">transport!C58</f>
        <v>0</v>
      </c>
      <c r="E49" s="676">
        <f>transport!D58</f>
        <v>0</v>
      </c>
      <c r="F49" s="676">
        <f>transport!E58</f>
        <v>0</v>
      </c>
      <c r="G49" s="676">
        <f>transport!F58</f>
        <v>0</v>
      </c>
      <c r="H49" s="676">
        <f>transport!G58</f>
        <v>1139.7812599741208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1144.3676246410757</v>
      </c>
    </row>
    <row r="50" spans="1:18">
      <c r="A50" s="807" t="s">
        <v>302</v>
      </c>
      <c r="B50" s="817"/>
      <c r="C50" s="986">
        <f ca="1">transport!B18</f>
        <v>3.0874694518649797</v>
      </c>
      <c r="D50" s="986">
        <f>transport!C18</f>
        <v>0</v>
      </c>
      <c r="E50" s="986">
        <f>transport!D18</f>
        <v>3.5206971117929817</v>
      </c>
      <c r="F50" s="986">
        <f>transport!E18</f>
        <v>286.4654006773207</v>
      </c>
      <c r="G50" s="986">
        <f>transport!F18</f>
        <v>0</v>
      </c>
      <c r="H50" s="986">
        <f>transport!G18</f>
        <v>63996.479952556372</v>
      </c>
      <c r="I50" s="986">
        <f>transport!H18</f>
        <v>10791.813742466355</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75081.36726226371</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7.6738341188199879</v>
      </c>
      <c r="D52" s="709">
        <f t="shared" ref="D52:Q52" ca="1" si="6">SUM(D48:D51)</f>
        <v>0</v>
      </c>
      <c r="E52" s="709">
        <f t="shared" si="6"/>
        <v>3.5206971117929817</v>
      </c>
      <c r="F52" s="709">
        <f t="shared" si="6"/>
        <v>286.4654006773207</v>
      </c>
      <c r="G52" s="709">
        <f t="shared" si="6"/>
        <v>0</v>
      </c>
      <c r="H52" s="709">
        <f t="shared" si="6"/>
        <v>65136.261212530495</v>
      </c>
      <c r="I52" s="709">
        <f t="shared" si="6"/>
        <v>10791.813742466355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76225.734886904786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164.4381275288732</v>
      </c>
      <c r="D54" s="986">
        <f ca="1">+landbouw!C12</f>
        <v>0</v>
      </c>
      <c r="E54" s="986">
        <f>+landbouw!D12</f>
        <v>328.6857461527631</v>
      </c>
      <c r="F54" s="986">
        <f>+landbouw!E12</f>
        <v>1.6410186096967809</v>
      </c>
      <c r="G54" s="986">
        <f>+landbouw!F12</f>
        <v>668.61845661110169</v>
      </c>
      <c r="H54" s="986">
        <f>+landbouw!G12</f>
        <v>0</v>
      </c>
      <c r="I54" s="986">
        <f>+landbouw!H12</f>
        <v>0</v>
      </c>
      <c r="J54" s="986">
        <f>+landbouw!I12</f>
        <v>0</v>
      </c>
      <c r="K54" s="986">
        <f>+landbouw!J12</f>
        <v>33.604380619634654</v>
      </c>
      <c r="L54" s="986">
        <f>+landbouw!K12</f>
        <v>0</v>
      </c>
      <c r="M54" s="986">
        <f>+landbouw!L12</f>
        <v>0</v>
      </c>
      <c r="N54" s="986">
        <f>+landbouw!M12</f>
        <v>0</v>
      </c>
      <c r="O54" s="986">
        <f>+landbouw!N12</f>
        <v>0</v>
      </c>
      <c r="P54" s="986">
        <f>+landbouw!O12</f>
        <v>0</v>
      </c>
      <c r="Q54" s="987">
        <f>+landbouw!P12</f>
        <v>0</v>
      </c>
      <c r="R54" s="708">
        <f ca="1">SUM(C54:Q54)</f>
        <v>1196.9877295220695</v>
      </c>
    </row>
    <row r="55" spans="1:18" ht="15" thickBot="1">
      <c r="A55" s="807" t="s">
        <v>879</v>
      </c>
      <c r="B55" s="817"/>
      <c r="C55" s="986">
        <f ca="1">C25*'EF ele_warmte'!B12</f>
        <v>345.50374193420447</v>
      </c>
      <c r="D55" s="986"/>
      <c r="E55" s="986">
        <f>E25*EF_CO2_aardgas</f>
        <v>1280.6303730032769</v>
      </c>
      <c r="F55" s="986"/>
      <c r="G55" s="986"/>
      <c r="H55" s="986"/>
      <c r="I55" s="986"/>
      <c r="J55" s="986"/>
      <c r="K55" s="986"/>
      <c r="L55" s="986"/>
      <c r="M55" s="986"/>
      <c r="N55" s="986"/>
      <c r="O55" s="986"/>
      <c r="P55" s="986"/>
      <c r="Q55" s="987"/>
      <c r="R55" s="708">
        <f ca="1">SUM(C55:Q55)</f>
        <v>1626.1341149374814</v>
      </c>
    </row>
    <row r="56" spans="1:18" ht="15.75" thickBot="1">
      <c r="A56" s="805" t="s">
        <v>880</v>
      </c>
      <c r="B56" s="818"/>
      <c r="C56" s="709">
        <f ca="1">SUM(C54:C55)</f>
        <v>509.94186946307764</v>
      </c>
      <c r="D56" s="709">
        <f t="shared" ref="D56:Q56" ca="1" si="7">SUM(D54:D55)</f>
        <v>0</v>
      </c>
      <c r="E56" s="709">
        <f t="shared" si="7"/>
        <v>1609.31611915604</v>
      </c>
      <c r="F56" s="709">
        <f t="shared" si="7"/>
        <v>1.6410186096967809</v>
      </c>
      <c r="G56" s="709">
        <f t="shared" si="7"/>
        <v>668.61845661110169</v>
      </c>
      <c r="H56" s="709">
        <f t="shared" si="7"/>
        <v>0</v>
      </c>
      <c r="I56" s="709">
        <f t="shared" si="7"/>
        <v>0</v>
      </c>
      <c r="J56" s="709">
        <f t="shared" si="7"/>
        <v>0</v>
      </c>
      <c r="K56" s="709">
        <f t="shared" si="7"/>
        <v>33.604380619634654</v>
      </c>
      <c r="L56" s="709">
        <f t="shared" si="7"/>
        <v>0</v>
      </c>
      <c r="M56" s="709">
        <f t="shared" si="7"/>
        <v>0</v>
      </c>
      <c r="N56" s="709">
        <f t="shared" si="7"/>
        <v>0</v>
      </c>
      <c r="O56" s="709">
        <f t="shared" si="7"/>
        <v>0</v>
      </c>
      <c r="P56" s="709">
        <f t="shared" si="7"/>
        <v>0</v>
      </c>
      <c r="Q56" s="710">
        <f t="shared" si="7"/>
        <v>0</v>
      </c>
      <c r="R56" s="711">
        <f ca="1">SUM(R54:R55)</f>
        <v>2823.1218444595506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17889.230781520186</v>
      </c>
      <c r="D61" s="717">
        <f t="shared" ref="D61:Q61" ca="1" si="8">D46+D52+D56</f>
        <v>0</v>
      </c>
      <c r="E61" s="717">
        <f t="shared" ca="1" si="8"/>
        <v>37650.44672814916</v>
      </c>
      <c r="F61" s="717">
        <f t="shared" si="8"/>
        <v>858.67180188824875</v>
      </c>
      <c r="G61" s="717">
        <f t="shared" ca="1" si="8"/>
        <v>20383.620922886774</v>
      </c>
      <c r="H61" s="717">
        <f t="shared" si="8"/>
        <v>65136.261212530495</v>
      </c>
      <c r="I61" s="717">
        <f t="shared" si="8"/>
        <v>10791.813742466355</v>
      </c>
      <c r="J61" s="717">
        <f t="shared" si="8"/>
        <v>0</v>
      </c>
      <c r="K61" s="717">
        <f t="shared" si="8"/>
        <v>463.3696199628443</v>
      </c>
      <c r="L61" s="717">
        <f t="shared" si="8"/>
        <v>0</v>
      </c>
      <c r="M61" s="717">
        <f t="shared" ca="1" si="8"/>
        <v>0</v>
      </c>
      <c r="N61" s="717">
        <f t="shared" si="8"/>
        <v>0</v>
      </c>
      <c r="O61" s="717">
        <f t="shared" ca="1" si="8"/>
        <v>0</v>
      </c>
      <c r="P61" s="717">
        <f t="shared" si="8"/>
        <v>0</v>
      </c>
      <c r="Q61" s="717">
        <f t="shared" si="8"/>
        <v>0</v>
      </c>
      <c r="R61" s="717">
        <f ca="1">R46+R52+R56</f>
        <v>153173.41480940406</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0.21428741499786841</v>
      </c>
      <c r="D63" s="761">
        <f t="shared" ca="1" si="9"/>
        <v>0</v>
      </c>
      <c r="E63" s="988">
        <f t="shared" ca="1" si="9"/>
        <v>0.20200000000000004</v>
      </c>
      <c r="F63" s="761">
        <f t="shared" si="9"/>
        <v>0.22699999999999998</v>
      </c>
      <c r="G63" s="761">
        <f t="shared" ca="1" si="9"/>
        <v>0.26700000000000007</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17</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2518.6687914238973</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2535.6687914238973</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46712.405880590763</v>
      </c>
      <c r="C4" s="449">
        <f>huishoudens!C8</f>
        <v>0</v>
      </c>
      <c r="D4" s="449">
        <f>huishoudens!D8</f>
        <v>136763.95896791105</v>
      </c>
      <c r="E4" s="449">
        <f>huishoudens!E8</f>
        <v>2181.7788212867367</v>
      </c>
      <c r="F4" s="449">
        <f>huishoudens!F8</f>
        <v>66516.101911609745</v>
      </c>
      <c r="G4" s="449">
        <f>huishoudens!G8</f>
        <v>0</v>
      </c>
      <c r="H4" s="449">
        <f>huishoudens!H8</f>
        <v>0</v>
      </c>
      <c r="I4" s="449">
        <f>huishoudens!I8</f>
        <v>0</v>
      </c>
      <c r="J4" s="449">
        <f>huishoudens!J8</f>
        <v>1206.9114919275569</v>
      </c>
      <c r="K4" s="449">
        <f>huishoudens!K8</f>
        <v>0</v>
      </c>
      <c r="L4" s="449">
        <f>huishoudens!L8</f>
        <v>0</v>
      </c>
      <c r="M4" s="449">
        <f>huishoudens!M8</f>
        <v>0</v>
      </c>
      <c r="N4" s="449">
        <f>huishoudens!N8</f>
        <v>13956.687234916564</v>
      </c>
      <c r="O4" s="449">
        <f>huishoudens!O8</f>
        <v>161.02333333333334</v>
      </c>
      <c r="P4" s="450">
        <f>huishoudens!P8</f>
        <v>247.86666666666667</v>
      </c>
      <c r="Q4" s="451">
        <f>SUM(B4:P4)</f>
        <v>267746.73430824239</v>
      </c>
    </row>
    <row r="5" spans="1:17">
      <c r="A5" s="448" t="s">
        <v>155</v>
      </c>
      <c r="B5" s="449">
        <f ca="1">tertiair!B16</f>
        <v>28825.74253104972</v>
      </c>
      <c r="C5" s="449">
        <f ca="1">tertiair!C16</f>
        <v>0</v>
      </c>
      <c r="D5" s="449">
        <f ca="1">tertiair!D16</f>
        <v>38041.561673497716</v>
      </c>
      <c r="E5" s="449">
        <f>tertiair!E16</f>
        <v>295.17239273325254</v>
      </c>
      <c r="F5" s="449">
        <f ca="1">tertiair!F16</f>
        <v>6000.6004947292731</v>
      </c>
      <c r="G5" s="449">
        <f>tertiair!G16</f>
        <v>0</v>
      </c>
      <c r="H5" s="449">
        <f>tertiair!H16</f>
        <v>0</v>
      </c>
      <c r="I5" s="449">
        <f>tertiair!I16</f>
        <v>0</v>
      </c>
      <c r="J5" s="449">
        <f>tertiair!J16</f>
        <v>0</v>
      </c>
      <c r="K5" s="449">
        <f>tertiair!K16</f>
        <v>0</v>
      </c>
      <c r="L5" s="449">
        <f ca="1">tertiair!L16</f>
        <v>0</v>
      </c>
      <c r="M5" s="449">
        <f>tertiair!M16</f>
        <v>0</v>
      </c>
      <c r="N5" s="449">
        <f ca="1">tertiair!N16</f>
        <v>3570.8120845482476</v>
      </c>
      <c r="O5" s="449">
        <f>tertiair!O16</f>
        <v>0</v>
      </c>
      <c r="P5" s="450">
        <f>tertiair!P16</f>
        <v>0</v>
      </c>
      <c r="Q5" s="448">
        <f t="shared" ref="Q5:Q14" ca="1" si="0">SUM(B5:P5)</f>
        <v>76733.889176558194</v>
      </c>
    </row>
    <row r="6" spans="1:17">
      <c r="A6" s="448" t="s">
        <v>193</v>
      </c>
      <c r="B6" s="449">
        <f>'openbare verlichting'!B8</f>
        <v>2000.2660000000001</v>
      </c>
      <c r="C6" s="449"/>
      <c r="D6" s="449"/>
      <c r="E6" s="449"/>
      <c r="F6" s="449"/>
      <c r="G6" s="449"/>
      <c r="H6" s="449"/>
      <c r="I6" s="449"/>
      <c r="J6" s="449"/>
      <c r="K6" s="449"/>
      <c r="L6" s="449"/>
      <c r="M6" s="449"/>
      <c r="N6" s="449"/>
      <c r="O6" s="449"/>
      <c r="P6" s="450"/>
      <c r="Q6" s="448">
        <f t="shared" si="0"/>
        <v>2000.2660000000001</v>
      </c>
    </row>
    <row r="7" spans="1:17">
      <c r="A7" s="448" t="s">
        <v>111</v>
      </c>
      <c r="B7" s="449">
        <f>landbouw!B8</f>
        <v>767.37183810121996</v>
      </c>
      <c r="C7" s="449">
        <f>landbouw!C8</f>
        <v>0</v>
      </c>
      <c r="D7" s="449">
        <f>landbouw!D8</f>
        <v>1627.1571591720945</v>
      </c>
      <c r="E7" s="449">
        <f>landbouw!E8</f>
        <v>7.2291568709109288</v>
      </c>
      <c r="F7" s="449">
        <f>landbouw!F8</f>
        <v>2504.1889760715417</v>
      </c>
      <c r="G7" s="449">
        <f>landbouw!G8</f>
        <v>0</v>
      </c>
      <c r="H7" s="449">
        <f>landbouw!H8</f>
        <v>0</v>
      </c>
      <c r="I7" s="449">
        <f>landbouw!I8</f>
        <v>0</v>
      </c>
      <c r="J7" s="449">
        <f>landbouw!J8</f>
        <v>94.92762886902446</v>
      </c>
      <c r="K7" s="449">
        <f>landbouw!K8</f>
        <v>0</v>
      </c>
      <c r="L7" s="449">
        <f>landbouw!L8</f>
        <v>0</v>
      </c>
      <c r="M7" s="449">
        <f>landbouw!M8</f>
        <v>0</v>
      </c>
      <c r="N7" s="449">
        <f>landbouw!N8</f>
        <v>0</v>
      </c>
      <c r="O7" s="449">
        <f>landbouw!O8</f>
        <v>0</v>
      </c>
      <c r="P7" s="450">
        <f>landbouw!P8</f>
        <v>0</v>
      </c>
      <c r="Q7" s="448">
        <f t="shared" si="0"/>
        <v>5000.8747590847915</v>
      </c>
    </row>
    <row r="8" spans="1:17">
      <c r="A8" s="448" t="s">
        <v>671</v>
      </c>
      <c r="B8" s="449">
        <f>industrie!B18</f>
        <v>3528.4792186321583</v>
      </c>
      <c r="C8" s="449">
        <f>industrie!C18</f>
        <v>0</v>
      </c>
      <c r="D8" s="449">
        <f>industrie!D18</f>
        <v>3598.4888233502343</v>
      </c>
      <c r="E8" s="449">
        <f>industrie!E18</f>
        <v>36.552674091162004</v>
      </c>
      <c r="F8" s="449">
        <f>industrie!F18</f>
        <v>1322.2581415099296</v>
      </c>
      <c r="G8" s="449">
        <f>industrie!G18</f>
        <v>0</v>
      </c>
      <c r="H8" s="449">
        <f>industrie!H18</f>
        <v>0</v>
      </c>
      <c r="I8" s="449">
        <f>industrie!I18</f>
        <v>0</v>
      </c>
      <c r="J8" s="449">
        <f>industrie!J18</f>
        <v>7.114607912018406</v>
      </c>
      <c r="K8" s="449">
        <f>industrie!K18</f>
        <v>0</v>
      </c>
      <c r="L8" s="449">
        <f>industrie!L18</f>
        <v>0</v>
      </c>
      <c r="M8" s="449">
        <f>industrie!M18</f>
        <v>0</v>
      </c>
      <c r="N8" s="449">
        <f>industrie!N18</f>
        <v>267.97273579437876</v>
      </c>
      <c r="O8" s="449">
        <f>industrie!O18</f>
        <v>0</v>
      </c>
      <c r="P8" s="450">
        <f>industrie!P18</f>
        <v>0</v>
      </c>
      <c r="Q8" s="448">
        <f t="shared" si="0"/>
        <v>8760.8662012898822</v>
      </c>
    </row>
    <row r="9" spans="1:17" s="454" customFormat="1">
      <c r="A9" s="452" t="s">
        <v>568</v>
      </c>
      <c r="B9" s="453">
        <f>transport!B14</f>
        <v>14.40807642341335</v>
      </c>
      <c r="C9" s="453">
        <f>transport!C14</f>
        <v>0</v>
      </c>
      <c r="D9" s="453">
        <f>transport!D14</f>
        <v>17.429193622737532</v>
      </c>
      <c r="E9" s="453">
        <f>transport!E14</f>
        <v>1261.9621175212365</v>
      </c>
      <c r="F9" s="453">
        <f>transport!F14</f>
        <v>0</v>
      </c>
      <c r="G9" s="453">
        <f>transport!G14</f>
        <v>239687.19083354445</v>
      </c>
      <c r="H9" s="453">
        <f>transport!H14</f>
        <v>43340.617439623915</v>
      </c>
      <c r="I9" s="453">
        <f>transport!I14</f>
        <v>0</v>
      </c>
      <c r="J9" s="453">
        <f>transport!J14</f>
        <v>0</v>
      </c>
      <c r="K9" s="453">
        <f>transport!K14</f>
        <v>0</v>
      </c>
      <c r="L9" s="453">
        <f>transport!L14</f>
        <v>0</v>
      </c>
      <c r="M9" s="453">
        <f>transport!M14</f>
        <v>12650.277524776542</v>
      </c>
      <c r="N9" s="453">
        <f>transport!N14</f>
        <v>0</v>
      </c>
      <c r="O9" s="453">
        <f>transport!O14</f>
        <v>0</v>
      </c>
      <c r="P9" s="453">
        <f>transport!P14</f>
        <v>0</v>
      </c>
      <c r="Q9" s="452">
        <f>SUM(B9:P9)</f>
        <v>296971.88518551225</v>
      </c>
    </row>
    <row r="10" spans="1:17">
      <c r="A10" s="448" t="s">
        <v>558</v>
      </c>
      <c r="B10" s="449">
        <f>transport!B54</f>
        <v>21.402865245262447</v>
      </c>
      <c r="C10" s="449">
        <f>transport!C54</f>
        <v>0</v>
      </c>
      <c r="D10" s="449">
        <f>transport!D54</f>
        <v>0</v>
      </c>
      <c r="E10" s="449">
        <f>transport!E54</f>
        <v>0</v>
      </c>
      <c r="F10" s="449">
        <f>transport!F54</f>
        <v>0</v>
      </c>
      <c r="G10" s="449">
        <f>transport!G54</f>
        <v>4268.8436703150592</v>
      </c>
      <c r="H10" s="449">
        <f>transport!H54</f>
        <v>0</v>
      </c>
      <c r="I10" s="449">
        <f>transport!I54</f>
        <v>0</v>
      </c>
      <c r="J10" s="449">
        <f>transport!J54</f>
        <v>0</v>
      </c>
      <c r="K10" s="449">
        <f>transport!K54</f>
        <v>0</v>
      </c>
      <c r="L10" s="449">
        <f>transport!L54</f>
        <v>0</v>
      </c>
      <c r="M10" s="449">
        <f>transport!M54</f>
        <v>188.67834365420114</v>
      </c>
      <c r="N10" s="449">
        <f>transport!N54</f>
        <v>0</v>
      </c>
      <c r="O10" s="449">
        <f>transport!O54</f>
        <v>0</v>
      </c>
      <c r="P10" s="450">
        <f>transport!P54</f>
        <v>0</v>
      </c>
      <c r="Q10" s="448">
        <f t="shared" si="0"/>
        <v>4478.9248792145227</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1612.3379991197401</v>
      </c>
      <c r="C14" s="456"/>
      <c r="D14" s="456">
        <f>'SEAP template'!E25</f>
        <v>6339.7543217984003</v>
      </c>
      <c r="E14" s="456"/>
      <c r="F14" s="456"/>
      <c r="G14" s="456"/>
      <c r="H14" s="456"/>
      <c r="I14" s="456"/>
      <c r="J14" s="456"/>
      <c r="K14" s="456"/>
      <c r="L14" s="456"/>
      <c r="M14" s="456"/>
      <c r="N14" s="456"/>
      <c r="O14" s="456"/>
      <c r="P14" s="457"/>
      <c r="Q14" s="448">
        <f t="shared" si="0"/>
        <v>7952.0923209181401</v>
      </c>
    </row>
    <row r="15" spans="1:17" s="461" customFormat="1">
      <c r="A15" s="458" t="s">
        <v>562</v>
      </c>
      <c r="B15" s="459">
        <f ca="1">SUM(B4:B14)</f>
        <v>83482.414409162287</v>
      </c>
      <c r="C15" s="459">
        <f t="shared" ref="C15:Q15" ca="1" si="1">SUM(C4:C14)</f>
        <v>0</v>
      </c>
      <c r="D15" s="459">
        <f t="shared" ca="1" si="1"/>
        <v>186388.3501393522</v>
      </c>
      <c r="E15" s="459">
        <f t="shared" si="1"/>
        <v>3782.6951625032989</v>
      </c>
      <c r="F15" s="459">
        <f t="shared" ca="1" si="1"/>
        <v>76343.149523920481</v>
      </c>
      <c r="G15" s="459">
        <f t="shared" si="1"/>
        <v>243956.0345038595</v>
      </c>
      <c r="H15" s="459">
        <f t="shared" si="1"/>
        <v>43340.617439623915</v>
      </c>
      <c r="I15" s="459">
        <f t="shared" si="1"/>
        <v>0</v>
      </c>
      <c r="J15" s="459">
        <f t="shared" si="1"/>
        <v>1308.9537287085996</v>
      </c>
      <c r="K15" s="459">
        <f t="shared" si="1"/>
        <v>0</v>
      </c>
      <c r="L15" s="459">
        <f t="shared" ca="1" si="1"/>
        <v>0</v>
      </c>
      <c r="M15" s="459">
        <f t="shared" si="1"/>
        <v>12838.955868430743</v>
      </c>
      <c r="N15" s="459">
        <f t="shared" ca="1" si="1"/>
        <v>17795.47205525919</v>
      </c>
      <c r="O15" s="459">
        <f t="shared" si="1"/>
        <v>161.02333333333334</v>
      </c>
      <c r="P15" s="459">
        <f t="shared" si="1"/>
        <v>247.86666666666667</v>
      </c>
      <c r="Q15" s="459">
        <f t="shared" ca="1" si="1"/>
        <v>669645.53283082007</v>
      </c>
    </row>
    <row r="17" spans="1:17">
      <c r="A17" s="462" t="s">
        <v>563</v>
      </c>
      <c r="B17" s="766">
        <f ca="1">huishoudens!B10</f>
        <v>0.21428741499786838</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10009.880704483021</v>
      </c>
      <c r="C22" s="449">
        <f t="shared" ref="C22:C32" ca="1" si="3">C4*$C$17</f>
        <v>0</v>
      </c>
      <c r="D22" s="449">
        <f t="shared" ref="D22:D32" si="4">D4*$D$17</f>
        <v>27626.319711518034</v>
      </c>
      <c r="E22" s="449">
        <f t="shared" ref="E22:E32" si="5">E4*$E$17</f>
        <v>495.26379243208925</v>
      </c>
      <c r="F22" s="449">
        <f t="shared" ref="F22:F32" si="6">F4*$F$17</f>
        <v>17759.799210399804</v>
      </c>
      <c r="G22" s="449">
        <f t="shared" ref="G22:G32" si="7">G4*$G$17</f>
        <v>0</v>
      </c>
      <c r="H22" s="449">
        <f t="shared" ref="H22:H32" si="8">H4*$H$17</f>
        <v>0</v>
      </c>
      <c r="I22" s="449">
        <f t="shared" ref="I22:I32" si="9">I4*$I$17</f>
        <v>0</v>
      </c>
      <c r="J22" s="449">
        <f t="shared" ref="J22:J32" si="10">J4*$J$17</f>
        <v>427.24666814235513</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56318.510086975301</v>
      </c>
    </row>
    <row r="23" spans="1:17">
      <c r="A23" s="448" t="s">
        <v>155</v>
      </c>
      <c r="B23" s="449">
        <f t="shared" ca="1" si="2"/>
        <v>6176.993852372756</v>
      </c>
      <c r="C23" s="449">
        <f t="shared" ca="1" si="3"/>
        <v>0</v>
      </c>
      <c r="D23" s="449">
        <f t="shared" ca="1" si="4"/>
        <v>7684.3954580465388</v>
      </c>
      <c r="E23" s="449">
        <f t="shared" si="5"/>
        <v>67.004133150448325</v>
      </c>
      <c r="F23" s="449">
        <f t="shared" ca="1" si="6"/>
        <v>1602.1603320927161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15530.553775662458</v>
      </c>
    </row>
    <row r="24" spans="1:17">
      <c r="A24" s="448" t="s">
        <v>193</v>
      </c>
      <c r="B24" s="449">
        <f t="shared" ca="1" si="2"/>
        <v>428.63183044812621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428.63183044812621</v>
      </c>
    </row>
    <row r="25" spans="1:17">
      <c r="A25" s="448" t="s">
        <v>111</v>
      </c>
      <c r="B25" s="449">
        <f t="shared" ca="1" si="2"/>
        <v>164.4381275288732</v>
      </c>
      <c r="C25" s="449">
        <f t="shared" ca="1" si="3"/>
        <v>0</v>
      </c>
      <c r="D25" s="449">
        <f t="shared" si="4"/>
        <v>328.6857461527631</v>
      </c>
      <c r="E25" s="449">
        <f t="shared" si="5"/>
        <v>1.6410186096967809</v>
      </c>
      <c r="F25" s="449">
        <f t="shared" si="6"/>
        <v>668.61845661110169</v>
      </c>
      <c r="G25" s="449">
        <f t="shared" si="7"/>
        <v>0</v>
      </c>
      <c r="H25" s="449">
        <f t="shared" si="8"/>
        <v>0</v>
      </c>
      <c r="I25" s="449">
        <f t="shared" si="9"/>
        <v>0</v>
      </c>
      <c r="J25" s="449">
        <f t="shared" si="10"/>
        <v>33.604380619634654</v>
      </c>
      <c r="K25" s="449">
        <f t="shared" si="11"/>
        <v>0</v>
      </c>
      <c r="L25" s="449">
        <f t="shared" si="12"/>
        <v>0</v>
      </c>
      <c r="M25" s="449">
        <f t="shared" si="13"/>
        <v>0</v>
      </c>
      <c r="N25" s="449">
        <f t="shared" si="14"/>
        <v>0</v>
      </c>
      <c r="O25" s="449">
        <f t="shared" si="15"/>
        <v>0</v>
      </c>
      <c r="P25" s="450">
        <f t="shared" si="16"/>
        <v>0</v>
      </c>
      <c r="Q25" s="448">
        <f t="shared" ca="1" si="17"/>
        <v>1196.9877295220695</v>
      </c>
    </row>
    <row r="26" spans="1:17">
      <c r="A26" s="448" t="s">
        <v>671</v>
      </c>
      <c r="B26" s="449">
        <f t="shared" ca="1" si="2"/>
        <v>756.10869063438372</v>
      </c>
      <c r="C26" s="449">
        <f t="shared" ca="1" si="3"/>
        <v>0</v>
      </c>
      <c r="D26" s="449">
        <f t="shared" si="4"/>
        <v>726.8947423167474</v>
      </c>
      <c r="E26" s="449">
        <f t="shared" si="5"/>
        <v>8.2974570186937751</v>
      </c>
      <c r="F26" s="449">
        <f t="shared" si="6"/>
        <v>353.0429237831512</v>
      </c>
      <c r="G26" s="449">
        <f t="shared" si="7"/>
        <v>0</v>
      </c>
      <c r="H26" s="449">
        <f t="shared" si="8"/>
        <v>0</v>
      </c>
      <c r="I26" s="449">
        <f t="shared" si="9"/>
        <v>0</v>
      </c>
      <c r="J26" s="449">
        <f t="shared" si="10"/>
        <v>2.5185712008545158</v>
      </c>
      <c r="K26" s="449">
        <f t="shared" si="11"/>
        <v>0</v>
      </c>
      <c r="L26" s="449">
        <f t="shared" si="12"/>
        <v>0</v>
      </c>
      <c r="M26" s="449">
        <f t="shared" si="13"/>
        <v>0</v>
      </c>
      <c r="N26" s="449">
        <f t="shared" si="14"/>
        <v>0</v>
      </c>
      <c r="O26" s="449">
        <f t="shared" si="15"/>
        <v>0</v>
      </c>
      <c r="P26" s="450">
        <f t="shared" si="16"/>
        <v>0</v>
      </c>
      <c r="Q26" s="448">
        <f t="shared" ca="1" si="17"/>
        <v>1846.8623849538305</v>
      </c>
    </row>
    <row r="27" spans="1:17" s="454" customFormat="1">
      <c r="A27" s="452" t="s">
        <v>568</v>
      </c>
      <c r="B27" s="760">
        <f t="shared" ca="1" si="2"/>
        <v>3.0874694518649797</v>
      </c>
      <c r="C27" s="453">
        <f t="shared" ca="1" si="3"/>
        <v>0</v>
      </c>
      <c r="D27" s="453">
        <f t="shared" si="4"/>
        <v>3.5206971117929817</v>
      </c>
      <c r="E27" s="453">
        <f t="shared" si="5"/>
        <v>286.4654006773207</v>
      </c>
      <c r="F27" s="453">
        <f t="shared" si="6"/>
        <v>0</v>
      </c>
      <c r="G27" s="453">
        <f t="shared" si="7"/>
        <v>63996.479952556372</v>
      </c>
      <c r="H27" s="453">
        <f t="shared" si="8"/>
        <v>10791.813742466355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75081.36726226371</v>
      </c>
    </row>
    <row r="28" spans="1:17">
      <c r="A28" s="448" t="s">
        <v>558</v>
      </c>
      <c r="B28" s="449">
        <f t="shared" ca="1" si="2"/>
        <v>4.5863646669550082</v>
      </c>
      <c r="C28" s="449">
        <f t="shared" ca="1" si="3"/>
        <v>0</v>
      </c>
      <c r="D28" s="449">
        <f t="shared" si="4"/>
        <v>0</v>
      </c>
      <c r="E28" s="449">
        <f t="shared" si="5"/>
        <v>0</v>
      </c>
      <c r="F28" s="449">
        <f t="shared" si="6"/>
        <v>0</v>
      </c>
      <c r="G28" s="449">
        <f t="shared" si="7"/>
        <v>1139.7812599741208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1144.3676246410757</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345.50374193420447</v>
      </c>
      <c r="C32" s="449">
        <f t="shared" ca="1" si="3"/>
        <v>0</v>
      </c>
      <c r="D32" s="449">
        <f t="shared" si="4"/>
        <v>1280.6303730032769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1626.1341149374814</v>
      </c>
    </row>
    <row r="33" spans="1:17" s="461" customFormat="1">
      <c r="A33" s="458" t="s">
        <v>562</v>
      </c>
      <c r="B33" s="459">
        <f ca="1">SUM(B22:B32)</f>
        <v>17889.230781520186</v>
      </c>
      <c r="C33" s="459">
        <f t="shared" ref="C33:Q33" ca="1" si="18">SUM(C22:C32)</f>
        <v>0</v>
      </c>
      <c r="D33" s="459">
        <f t="shared" ca="1" si="18"/>
        <v>37650.446728149152</v>
      </c>
      <c r="E33" s="459">
        <f t="shared" si="18"/>
        <v>858.67180188824886</v>
      </c>
      <c r="F33" s="459">
        <f t="shared" ca="1" si="18"/>
        <v>20383.620922886774</v>
      </c>
      <c r="G33" s="459">
        <f t="shared" si="18"/>
        <v>65136.261212530495</v>
      </c>
      <c r="H33" s="459">
        <f t="shared" si="18"/>
        <v>10791.813742466355</v>
      </c>
      <c r="I33" s="459">
        <f t="shared" si="18"/>
        <v>0</v>
      </c>
      <c r="J33" s="459">
        <f t="shared" si="18"/>
        <v>463.3696199628443</v>
      </c>
      <c r="K33" s="459">
        <f t="shared" si="18"/>
        <v>0</v>
      </c>
      <c r="L33" s="459">
        <f t="shared" ca="1" si="18"/>
        <v>0</v>
      </c>
      <c r="M33" s="459">
        <f t="shared" si="18"/>
        <v>0</v>
      </c>
      <c r="N33" s="459">
        <f t="shared" ca="1" si="18"/>
        <v>0</v>
      </c>
      <c r="O33" s="459">
        <f t="shared" si="18"/>
        <v>0</v>
      </c>
      <c r="P33" s="459">
        <f t="shared" si="18"/>
        <v>0</v>
      </c>
      <c r="Q33" s="459">
        <f t="shared" ca="1" si="18"/>
        <v>153173.41480940406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17</v>
      </c>
      <c r="C5" s="1015"/>
      <c r="D5" s="1015"/>
      <c r="E5" s="1015"/>
      <c r="F5" s="1015"/>
      <c r="G5" s="1015"/>
      <c r="H5" s="1015"/>
      <c r="I5" s="1015"/>
      <c r="J5" s="1015"/>
      <c r="K5" s="1015"/>
      <c r="L5" s="1015"/>
      <c r="M5" s="1015"/>
      <c r="N5" s="1015"/>
      <c r="O5" s="1015"/>
      <c r="P5" s="1016">
        <f>'SEAP template'!Q73</f>
        <v>0</v>
      </c>
    </row>
    <row r="6" spans="1:16">
      <c r="A6" s="1017" t="s">
        <v>246</v>
      </c>
      <c r="B6" s="1015">
        <f>'SEAP template'!B74</f>
        <v>2518.6687914238973</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2535.6687914238973</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0.21428741499786838</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0.21428741499786838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0.21428741499786838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0.21428741499786838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9637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1543</v>
      </c>
      <c r="C14" s="327"/>
      <c r="D14" s="327"/>
      <c r="E14" s="327"/>
      <c r="F14" s="327"/>
    </row>
    <row r="15" spans="1:6">
      <c r="A15" s="1295" t="s">
        <v>183</v>
      </c>
      <c r="B15" s="1296">
        <v>2</v>
      </c>
      <c r="C15" s="327"/>
      <c r="D15" s="327"/>
      <c r="E15" s="327"/>
      <c r="F15" s="327"/>
    </row>
    <row r="16" spans="1:6">
      <c r="A16" s="1295" t="s">
        <v>6</v>
      </c>
      <c r="B16" s="1296">
        <v>125</v>
      </c>
      <c r="C16" s="327"/>
      <c r="D16" s="327"/>
      <c r="E16" s="327"/>
      <c r="F16" s="327"/>
    </row>
    <row r="17" spans="1:6">
      <c r="A17" s="1295" t="s">
        <v>7</v>
      </c>
      <c r="B17" s="1296">
        <v>80</v>
      </c>
      <c r="C17" s="327"/>
      <c r="D17" s="327"/>
      <c r="E17" s="327"/>
      <c r="F17" s="327"/>
    </row>
    <row r="18" spans="1:6">
      <c r="A18" s="1295" t="s">
        <v>8</v>
      </c>
      <c r="B18" s="1296">
        <v>143</v>
      </c>
      <c r="C18" s="327"/>
      <c r="D18" s="327"/>
      <c r="E18" s="327"/>
      <c r="F18" s="327"/>
    </row>
    <row r="19" spans="1:6">
      <c r="A19" s="1295" t="s">
        <v>9</v>
      </c>
      <c r="B19" s="1296">
        <v>171</v>
      </c>
      <c r="C19" s="327"/>
      <c r="D19" s="327"/>
      <c r="E19" s="327"/>
      <c r="F19" s="327"/>
    </row>
    <row r="20" spans="1:6">
      <c r="A20" s="1295" t="s">
        <v>10</v>
      </c>
      <c r="B20" s="1296">
        <v>125</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142</v>
      </c>
      <c r="C26" s="327"/>
      <c r="D26" s="327"/>
      <c r="E26" s="327"/>
      <c r="F26" s="327"/>
    </row>
    <row r="27" spans="1:6">
      <c r="A27" s="1295" t="s">
        <v>17</v>
      </c>
      <c r="B27" s="1296">
        <v>0</v>
      </c>
      <c r="C27" s="327"/>
      <c r="D27" s="327"/>
      <c r="E27" s="327"/>
      <c r="F27" s="327"/>
    </row>
    <row r="28" spans="1:6" s="44" customFormat="1">
      <c r="A28" s="1297" t="s">
        <v>18</v>
      </c>
      <c r="B28" s="1298">
        <v>27</v>
      </c>
      <c r="C28" s="333"/>
      <c r="D28" s="333"/>
      <c r="E28" s="333"/>
      <c r="F28" s="333"/>
    </row>
    <row r="29" spans="1:6">
      <c r="A29" s="1297" t="s">
        <v>961</v>
      </c>
      <c r="B29" s="1298">
        <v>155</v>
      </c>
      <c r="C29" s="333"/>
      <c r="D29" s="333"/>
      <c r="E29" s="333"/>
      <c r="F29" s="333"/>
    </row>
    <row r="30" spans="1:6">
      <c r="A30" s="1290" t="s">
        <v>962</v>
      </c>
      <c r="B30" s="1299">
        <v>28</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10</v>
      </c>
      <c r="F36" s="1296">
        <v>26423.5592920608</v>
      </c>
    </row>
    <row r="37" spans="1:6">
      <c r="A37" s="1295" t="s">
        <v>24</v>
      </c>
      <c r="B37" s="1295" t="s">
        <v>27</v>
      </c>
      <c r="C37" s="1296">
        <v>0</v>
      </c>
      <c r="D37" s="1296">
        <v>0</v>
      </c>
      <c r="E37" s="1296">
        <v>0</v>
      </c>
      <c r="F37" s="1296">
        <v>0</v>
      </c>
    </row>
    <row r="38" spans="1:6">
      <c r="A38" s="1295" t="s">
        <v>24</v>
      </c>
      <c r="B38" s="1295" t="s">
        <v>28</v>
      </c>
      <c r="C38" s="1296">
        <v>0</v>
      </c>
      <c r="D38" s="1296">
        <v>0</v>
      </c>
      <c r="E38" s="1296">
        <v>2</v>
      </c>
      <c r="F38" s="1296">
        <v>18720.538937294499</v>
      </c>
    </row>
    <row r="39" spans="1:6">
      <c r="A39" s="1295" t="s">
        <v>29</v>
      </c>
      <c r="B39" s="1295" t="s">
        <v>30</v>
      </c>
      <c r="C39" s="1296">
        <v>5714</v>
      </c>
      <c r="D39" s="1296">
        <v>151596379.80141601</v>
      </c>
      <c r="E39" s="1296">
        <v>9436</v>
      </c>
      <c r="F39" s="1296">
        <v>44379871.047638997</v>
      </c>
    </row>
    <row r="40" spans="1:6">
      <c r="A40" s="1295" t="s">
        <v>29</v>
      </c>
      <c r="B40" s="1295" t="s">
        <v>28</v>
      </c>
      <c r="C40" s="1296">
        <v>1</v>
      </c>
      <c r="D40" s="1296">
        <v>26634.575425498599</v>
      </c>
      <c r="E40" s="1296">
        <v>1</v>
      </c>
      <c r="F40" s="1296">
        <v>8105.4043152812001</v>
      </c>
    </row>
    <row r="41" spans="1:6">
      <c r="A41" s="1295" t="s">
        <v>31</v>
      </c>
      <c r="B41" s="1295" t="s">
        <v>32</v>
      </c>
      <c r="C41" s="1296">
        <v>54</v>
      </c>
      <c r="D41" s="1296">
        <v>1428409.8637047301</v>
      </c>
      <c r="E41" s="1296">
        <v>143</v>
      </c>
      <c r="F41" s="1296">
        <v>1250341.0605035699</v>
      </c>
    </row>
    <row r="42" spans="1:6">
      <c r="A42" s="1295" t="s">
        <v>31</v>
      </c>
      <c r="B42" s="1295" t="s">
        <v>33</v>
      </c>
      <c r="C42" s="1296">
        <v>0</v>
      </c>
      <c r="D42" s="1296">
        <v>0</v>
      </c>
      <c r="E42" s="1296">
        <v>4</v>
      </c>
      <c r="F42" s="1296">
        <v>434494.06738760701</v>
      </c>
    </row>
    <row r="43" spans="1:6">
      <c r="A43" s="1295" t="s">
        <v>31</v>
      </c>
      <c r="B43" s="1295" t="s">
        <v>34</v>
      </c>
      <c r="C43" s="1296">
        <v>0</v>
      </c>
      <c r="D43" s="1296">
        <v>0</v>
      </c>
      <c r="E43" s="1296">
        <v>0</v>
      </c>
      <c r="F43" s="1296">
        <v>0</v>
      </c>
    </row>
    <row r="44" spans="1:6">
      <c r="A44" s="1295" t="s">
        <v>31</v>
      </c>
      <c r="B44" s="1295" t="s">
        <v>35</v>
      </c>
      <c r="C44" s="1296">
        <v>0</v>
      </c>
      <c r="D44" s="1296">
        <v>0</v>
      </c>
      <c r="E44" s="1296">
        <v>8</v>
      </c>
      <c r="F44" s="1296">
        <v>94738.755421947804</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5</v>
      </c>
      <c r="D47" s="1296">
        <v>135058.96114612301</v>
      </c>
      <c r="E47" s="1296">
        <v>12</v>
      </c>
      <c r="F47" s="1296">
        <v>367243.17665969802</v>
      </c>
    </row>
    <row r="48" spans="1:6">
      <c r="A48" s="1295" t="s">
        <v>31</v>
      </c>
      <c r="B48" s="1295" t="s">
        <v>28</v>
      </c>
      <c r="C48" s="1296">
        <v>33</v>
      </c>
      <c r="D48" s="1296">
        <v>2425986.63340883</v>
      </c>
      <c r="E48" s="1296">
        <v>24</v>
      </c>
      <c r="F48" s="1296">
        <v>1082089.7188993101</v>
      </c>
    </row>
    <row r="49" spans="1:6">
      <c r="A49" s="1295" t="s">
        <v>31</v>
      </c>
      <c r="B49" s="1295" t="s">
        <v>39</v>
      </c>
      <c r="C49" s="1296">
        <v>0</v>
      </c>
      <c r="D49" s="1296">
        <v>0</v>
      </c>
      <c r="E49" s="1296">
        <v>0</v>
      </c>
      <c r="F49" s="1296">
        <v>0</v>
      </c>
    </row>
    <row r="50" spans="1:6">
      <c r="A50" s="1295" t="s">
        <v>31</v>
      </c>
      <c r="B50" s="1295" t="s">
        <v>40</v>
      </c>
      <c r="C50" s="1296">
        <v>0</v>
      </c>
      <c r="D50" s="1296">
        <v>0</v>
      </c>
      <c r="E50" s="1296">
        <v>9</v>
      </c>
      <c r="F50" s="1296">
        <v>299572.43976002501</v>
      </c>
    </row>
    <row r="51" spans="1:6">
      <c r="A51" s="1295" t="s">
        <v>41</v>
      </c>
      <c r="B51" s="1295" t="s">
        <v>42</v>
      </c>
      <c r="C51" s="1296">
        <v>23</v>
      </c>
      <c r="D51" s="1296">
        <v>1689198.69457946</v>
      </c>
      <c r="E51" s="1296">
        <v>118</v>
      </c>
      <c r="F51" s="1296">
        <v>616616.12812800799</v>
      </c>
    </row>
    <row r="52" spans="1:6">
      <c r="A52" s="1295" t="s">
        <v>41</v>
      </c>
      <c r="B52" s="1295" t="s">
        <v>28</v>
      </c>
      <c r="C52" s="1296">
        <v>5</v>
      </c>
      <c r="D52" s="1296">
        <v>114744.94086632101</v>
      </c>
      <c r="E52" s="1296">
        <v>12</v>
      </c>
      <c r="F52" s="1296">
        <v>150755.70997321201</v>
      </c>
    </row>
    <row r="53" spans="1:6">
      <c r="A53" s="1295" t="s">
        <v>43</v>
      </c>
      <c r="B53" s="1295" t="s">
        <v>44</v>
      </c>
      <c r="C53" s="1296">
        <v>158</v>
      </c>
      <c r="D53" s="1296">
        <v>6339754.3217984</v>
      </c>
      <c r="E53" s="1296">
        <v>274</v>
      </c>
      <c r="F53" s="1296">
        <v>1612337.99911974</v>
      </c>
    </row>
    <row r="54" spans="1:6">
      <c r="A54" s="1295" t="s">
        <v>45</v>
      </c>
      <c r="B54" s="1295" t="s">
        <v>46</v>
      </c>
      <c r="C54" s="1296">
        <v>0</v>
      </c>
      <c r="D54" s="1296">
        <v>0</v>
      </c>
      <c r="E54" s="1296">
        <v>1</v>
      </c>
      <c r="F54" s="1296">
        <v>2000266</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40</v>
      </c>
      <c r="D57" s="1296">
        <v>1350561.6336270201</v>
      </c>
      <c r="E57" s="1296">
        <v>157</v>
      </c>
      <c r="F57" s="1296">
        <v>5660594.38789111</v>
      </c>
    </row>
    <row r="58" spans="1:6">
      <c r="A58" s="1295" t="s">
        <v>48</v>
      </c>
      <c r="B58" s="1295" t="s">
        <v>50</v>
      </c>
      <c r="C58" s="1296">
        <v>41</v>
      </c>
      <c r="D58" s="1296">
        <v>2026181.26825481</v>
      </c>
      <c r="E58" s="1296">
        <v>58</v>
      </c>
      <c r="F58" s="1296">
        <v>779882.10851410404</v>
      </c>
    </row>
    <row r="59" spans="1:6">
      <c r="A59" s="1295" t="s">
        <v>48</v>
      </c>
      <c r="B59" s="1295" t="s">
        <v>51</v>
      </c>
      <c r="C59" s="1296">
        <v>123</v>
      </c>
      <c r="D59" s="1296">
        <v>6286545.4321923098</v>
      </c>
      <c r="E59" s="1296">
        <v>302</v>
      </c>
      <c r="F59" s="1296">
        <v>8438951.36945967</v>
      </c>
    </row>
    <row r="60" spans="1:6">
      <c r="A60" s="1295" t="s">
        <v>48</v>
      </c>
      <c r="B60" s="1295" t="s">
        <v>52</v>
      </c>
      <c r="C60" s="1296">
        <v>64</v>
      </c>
      <c r="D60" s="1296">
        <v>4143666.1909971801</v>
      </c>
      <c r="E60" s="1296">
        <v>82</v>
      </c>
      <c r="F60" s="1296">
        <v>3043219.17737026</v>
      </c>
    </row>
    <row r="61" spans="1:6">
      <c r="A61" s="1295" t="s">
        <v>48</v>
      </c>
      <c r="B61" s="1295" t="s">
        <v>53</v>
      </c>
      <c r="C61" s="1296">
        <v>262</v>
      </c>
      <c r="D61" s="1296">
        <v>19218402.162711799</v>
      </c>
      <c r="E61" s="1296">
        <v>534</v>
      </c>
      <c r="F61" s="1296">
        <v>6813423.9674802199</v>
      </c>
    </row>
    <row r="62" spans="1:6">
      <c r="A62" s="1295" t="s">
        <v>48</v>
      </c>
      <c r="B62" s="1295" t="s">
        <v>54</v>
      </c>
      <c r="C62" s="1296">
        <v>5</v>
      </c>
      <c r="D62" s="1296">
        <v>1460020.1265231499</v>
      </c>
      <c r="E62" s="1296">
        <v>14</v>
      </c>
      <c r="F62" s="1296">
        <v>223580.722783442</v>
      </c>
    </row>
    <row r="63" spans="1:6">
      <c r="A63" s="1295" t="s">
        <v>48</v>
      </c>
      <c r="B63" s="1295" t="s">
        <v>28</v>
      </c>
      <c r="C63" s="1296">
        <v>117</v>
      </c>
      <c r="D63" s="1296">
        <v>7689303.5332521796</v>
      </c>
      <c r="E63" s="1296">
        <v>94</v>
      </c>
      <c r="F63" s="1296">
        <v>3866090.7975509199</v>
      </c>
    </row>
    <row r="64" spans="1:6">
      <c r="A64" s="1295" t="s">
        <v>55</v>
      </c>
      <c r="B64" s="1295" t="s">
        <v>56</v>
      </c>
      <c r="C64" s="1296">
        <v>0</v>
      </c>
      <c r="D64" s="1296">
        <v>0</v>
      </c>
      <c r="E64" s="1296">
        <v>0</v>
      </c>
      <c r="F64" s="1296">
        <v>0</v>
      </c>
    </row>
    <row r="65" spans="1:6">
      <c r="A65" s="1295" t="s">
        <v>55</v>
      </c>
      <c r="B65" s="1295" t="s">
        <v>28</v>
      </c>
      <c r="C65" s="1296">
        <v>3</v>
      </c>
      <c r="D65" s="1296">
        <v>52802.8217872526</v>
      </c>
      <c r="E65" s="1296">
        <v>2</v>
      </c>
      <c r="F65" s="1296">
        <v>162193.32556435899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5</v>
      </c>
      <c r="D68" s="1299">
        <v>315919.88084146002</v>
      </c>
      <c r="E68" s="1299">
        <v>16</v>
      </c>
      <c r="F68" s="1299">
        <v>96511.137443550993</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87126575</v>
      </c>
      <c r="E73" s="447"/>
      <c r="F73" s="327"/>
    </row>
    <row r="74" spans="1:6">
      <c r="A74" s="1295" t="s">
        <v>63</v>
      </c>
      <c r="B74" s="1295" t="s">
        <v>755</v>
      </c>
      <c r="C74" s="1309" t="s">
        <v>749</v>
      </c>
      <c r="D74" s="1310">
        <v>2999349.8927832441</v>
      </c>
      <c r="E74" s="447"/>
      <c r="F74" s="327"/>
    </row>
    <row r="75" spans="1:6">
      <c r="A75" s="1295" t="s">
        <v>64</v>
      </c>
      <c r="B75" s="1295" t="s">
        <v>754</v>
      </c>
      <c r="C75" s="1309" t="s">
        <v>750</v>
      </c>
      <c r="D75" s="1310">
        <v>48753945</v>
      </c>
      <c r="E75" s="447"/>
      <c r="F75" s="327"/>
    </row>
    <row r="76" spans="1:6">
      <c r="A76" s="1295" t="s">
        <v>64</v>
      </c>
      <c r="B76" s="1295" t="s">
        <v>755</v>
      </c>
      <c r="C76" s="1309" t="s">
        <v>751</v>
      </c>
      <c r="D76" s="1310">
        <v>912215.89278324426</v>
      </c>
      <c r="E76" s="447"/>
      <c r="F76" s="327"/>
    </row>
    <row r="77" spans="1:6">
      <c r="A77" s="1295" t="s">
        <v>65</v>
      </c>
      <c r="B77" s="1295" t="s">
        <v>754</v>
      </c>
      <c r="C77" s="1309" t="s">
        <v>752</v>
      </c>
      <c r="D77" s="1310">
        <v>216275525</v>
      </c>
      <c r="E77" s="447"/>
      <c r="F77" s="327"/>
    </row>
    <row r="78" spans="1:6">
      <c r="A78" s="1290" t="s">
        <v>65</v>
      </c>
      <c r="B78" s="1290" t="s">
        <v>755</v>
      </c>
      <c r="C78" s="1290" t="s">
        <v>753</v>
      </c>
      <c r="D78" s="1311">
        <v>16521439</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1179148.2144335115</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17</v>
      </c>
      <c r="C89" s="327"/>
      <c r="D89" s="327"/>
      <c r="E89" s="327"/>
      <c r="F89" s="327"/>
    </row>
    <row r="90" spans="1:6">
      <c r="A90" s="1295" t="s">
        <v>556</v>
      </c>
      <c r="B90" s="1296">
        <v>0</v>
      </c>
      <c r="C90" s="327"/>
      <c r="D90" s="327"/>
      <c r="E90" s="327"/>
      <c r="F90" s="327"/>
    </row>
    <row r="91" spans="1:6">
      <c r="A91" s="1295" t="s">
        <v>67</v>
      </c>
      <c r="B91" s="1296">
        <v>2324.429428636488</v>
      </c>
      <c r="C91" s="327"/>
      <c r="D91" s="327"/>
      <c r="E91" s="327"/>
      <c r="F91" s="327"/>
    </row>
    <row r="92" spans="1:6">
      <c r="A92" s="1290" t="s">
        <v>68</v>
      </c>
      <c r="B92" s="1291">
        <v>194.23936278740948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3706</v>
      </c>
      <c r="C97" s="327"/>
      <c r="D97" s="327"/>
      <c r="E97" s="327"/>
      <c r="F97" s="327"/>
    </row>
    <row r="98" spans="1:6">
      <c r="A98" s="1295" t="s">
        <v>71</v>
      </c>
      <c r="B98" s="1296">
        <v>4</v>
      </c>
      <c r="C98" s="327"/>
      <c r="D98" s="327"/>
      <c r="E98" s="327"/>
      <c r="F98" s="327"/>
    </row>
    <row r="99" spans="1:6">
      <c r="A99" s="1295" t="s">
        <v>72</v>
      </c>
      <c r="B99" s="1296">
        <v>74</v>
      </c>
      <c r="C99" s="327"/>
      <c r="D99" s="327"/>
      <c r="E99" s="327"/>
      <c r="F99" s="327"/>
    </row>
    <row r="100" spans="1:6">
      <c r="A100" s="1295" t="s">
        <v>73</v>
      </c>
      <c r="B100" s="1296">
        <v>477</v>
      </c>
      <c r="C100" s="327"/>
      <c r="D100" s="327"/>
      <c r="E100" s="327"/>
      <c r="F100" s="327"/>
    </row>
    <row r="101" spans="1:6">
      <c r="A101" s="1295" t="s">
        <v>74</v>
      </c>
      <c r="B101" s="1296">
        <v>44</v>
      </c>
      <c r="C101" s="327"/>
      <c r="D101" s="327"/>
      <c r="E101" s="327"/>
      <c r="F101" s="327"/>
    </row>
    <row r="102" spans="1:6">
      <c r="A102" s="1295" t="s">
        <v>75</v>
      </c>
      <c r="B102" s="1296">
        <v>114</v>
      </c>
      <c r="C102" s="327"/>
      <c r="D102" s="327"/>
      <c r="E102" s="327"/>
      <c r="F102" s="327"/>
    </row>
    <row r="103" spans="1:6">
      <c r="A103" s="1295" t="s">
        <v>76</v>
      </c>
      <c r="B103" s="1296">
        <v>138</v>
      </c>
      <c r="C103" s="327"/>
      <c r="D103" s="327"/>
      <c r="E103" s="327"/>
      <c r="F103" s="327"/>
    </row>
    <row r="104" spans="1:6">
      <c r="A104" s="1295" t="s">
        <v>77</v>
      </c>
      <c r="B104" s="1296">
        <v>3945</v>
      </c>
      <c r="C104" s="327"/>
      <c r="D104" s="327"/>
      <c r="E104" s="327"/>
      <c r="F104" s="327"/>
    </row>
    <row r="105" spans="1:6">
      <c r="A105" s="1290" t="s">
        <v>78</v>
      </c>
      <c r="B105" s="1299">
        <v>13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7</v>
      </c>
      <c r="C123" s="1296">
        <v>11</v>
      </c>
      <c r="D123" s="327"/>
      <c r="E123" s="327"/>
      <c r="F123" s="327"/>
    </row>
    <row r="124" spans="1:6" s="44" customFormat="1">
      <c r="A124" s="1297" t="s">
        <v>88</v>
      </c>
      <c r="B124" s="1318">
        <v>1</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92</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5</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83482.414409162273</v>
      </c>
      <c r="C3" s="44" t="s">
        <v>169</v>
      </c>
      <c r="D3" s="44"/>
      <c r="E3" s="157"/>
      <c r="F3" s="44"/>
      <c r="G3" s="44"/>
      <c r="H3" s="44"/>
      <c r="I3" s="44"/>
      <c r="J3" s="44"/>
      <c r="K3" s="97"/>
    </row>
    <row r="4" spans="1:11">
      <c r="A4" s="354" t="s">
        <v>170</v>
      </c>
      <c r="B4" s="50">
        <f>IF(ISERROR('SEAP template'!B78+'SEAP template'!C78),0,'SEAP template'!B78+'SEAP template'!C78)</f>
        <v>2535.6687914238973</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0.21428741499786838</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2000.2660000000001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2000.2660000000001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0.21428741499786838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428.63183044812621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44387.976451954273</v>
      </c>
      <c r="C5" s="18">
        <f>IF(ISERROR('Eigen informatie GS &amp; warmtenet'!B57),0,'Eigen informatie GS &amp; warmtenet'!B57)</f>
        <v>0</v>
      </c>
      <c r="D5" s="31">
        <f>(SUM(HH_hh_gas_kWh,HH_rest_gas_kWh)/1000)*0.902</f>
        <v>136763.95896791105</v>
      </c>
      <c r="E5" s="18">
        <f>B32*B41</f>
        <v>2181.7788212867367</v>
      </c>
      <c r="F5" s="18">
        <f>B36*B45</f>
        <v>66516.101911609745</v>
      </c>
      <c r="G5" s="19"/>
      <c r="H5" s="18"/>
      <c r="I5" s="18"/>
      <c r="J5" s="18">
        <f>B35*B44+C35*C44</f>
        <v>1206.9114919275569</v>
      </c>
      <c r="K5" s="18"/>
      <c r="L5" s="18"/>
      <c r="M5" s="18"/>
      <c r="N5" s="18">
        <f>B34*B43+C34*C43</f>
        <v>13956.687234916564</v>
      </c>
      <c r="O5" s="18">
        <f>B52*B53*B54</f>
        <v>161.02333333333334</v>
      </c>
      <c r="P5" s="18">
        <f>B60*B61*B62/1000-B60*B61*B62/1000/B63</f>
        <v>247.86666666666667</v>
      </c>
    </row>
    <row r="6" spans="1:16">
      <c r="A6" s="17" t="s">
        <v>628</v>
      </c>
      <c r="B6" s="768">
        <f>kWh_PV_kleiner_dan_10kW</f>
        <v>2324.429428636488</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46712.405880590763</v>
      </c>
      <c r="C8" s="22">
        <f>C5</f>
        <v>0</v>
      </c>
      <c r="D8" s="22">
        <f>D5</f>
        <v>136763.95896791105</v>
      </c>
      <c r="E8" s="22">
        <f>E5</f>
        <v>2181.7788212867367</v>
      </c>
      <c r="F8" s="22">
        <f>F5</f>
        <v>66516.101911609745</v>
      </c>
      <c r="G8" s="22"/>
      <c r="H8" s="22"/>
      <c r="I8" s="22"/>
      <c r="J8" s="22">
        <f>J5</f>
        <v>1206.9114919275569</v>
      </c>
      <c r="K8" s="22"/>
      <c r="L8" s="22">
        <f>L5</f>
        <v>0</v>
      </c>
      <c r="M8" s="22">
        <f>M5</f>
        <v>0</v>
      </c>
      <c r="N8" s="22">
        <f>N5</f>
        <v>13956.687234916564</v>
      </c>
      <c r="O8" s="22">
        <f>O5</f>
        <v>161.02333333333334</v>
      </c>
      <c r="P8" s="22">
        <f>P5</f>
        <v>247.86666666666667</v>
      </c>
    </row>
    <row r="9" spans="1:16">
      <c r="B9" s="20"/>
      <c r="C9" s="20"/>
      <c r="D9" s="258"/>
      <c r="E9" s="20"/>
      <c r="F9" s="20"/>
      <c r="G9" s="20"/>
      <c r="H9" s="20"/>
      <c r="I9" s="20"/>
      <c r="J9" s="20"/>
      <c r="K9" s="20"/>
      <c r="L9" s="20"/>
      <c r="M9" s="20"/>
      <c r="N9" s="20"/>
      <c r="O9" s="20"/>
      <c r="P9" s="20"/>
    </row>
    <row r="10" spans="1:16">
      <c r="A10" s="25" t="s">
        <v>213</v>
      </c>
      <c r="B10" s="26">
        <f ca="1">'EF ele_warmte'!B12</f>
        <v>0.21428741499786838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10009.880704483021</v>
      </c>
      <c r="C12" s="24">
        <f ca="1">C10*C8</f>
        <v>0</v>
      </c>
      <c r="D12" s="24">
        <f>D8*D10</f>
        <v>27626.319711518034</v>
      </c>
      <c r="E12" s="24">
        <f>E10*E8</f>
        <v>495.26379243208925</v>
      </c>
      <c r="F12" s="24">
        <f>F10*F8</f>
        <v>17759.799210399804</v>
      </c>
      <c r="G12" s="24"/>
      <c r="H12" s="24"/>
      <c r="I12" s="24"/>
      <c r="J12" s="24">
        <f>J10*J8</f>
        <v>427.24666814235513</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9637</v>
      </c>
      <c r="C26" s="37"/>
      <c r="D26" s="228"/>
    </row>
    <row r="27" spans="1:5" s="16" customFormat="1">
      <c r="A27" s="230" t="s">
        <v>654</v>
      </c>
      <c r="B27" s="38">
        <f>SUM(HH_hh_gas_aantal,HH_rest_gas_aantal)</f>
        <v>5715</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5429.25</v>
      </c>
      <c r="C31" s="35" t="s">
        <v>110</v>
      </c>
      <c r="D31" s="174"/>
    </row>
    <row r="32" spans="1:5">
      <c r="A32" s="171" t="s">
        <v>72</v>
      </c>
      <c r="B32" s="34">
        <f>IF((B21*($B$26-($B$27-0.05*$B$27)-$B$60))&lt;0,0,B21*($B$26-($B$27-0.05*$B$27)-$B$60))</f>
        <v>103.08736790166482</v>
      </c>
      <c r="C32" s="35" t="s">
        <v>110</v>
      </c>
      <c r="D32" s="174"/>
    </row>
    <row r="33" spans="1:6">
      <c r="A33" s="171" t="s">
        <v>73</v>
      </c>
      <c r="B33" s="34">
        <f>IF((B22*($B$26-($B$27-0.05*$B$27)-$B$60))&lt;0,0,B22*($B$26-($B$27-0.05*$B$27)-$B$60))</f>
        <v>693.89889091586679</v>
      </c>
      <c r="C33" s="35" t="s">
        <v>110</v>
      </c>
      <c r="D33" s="174"/>
    </row>
    <row r="34" spans="1:6">
      <c r="A34" s="171" t="s">
        <v>74</v>
      </c>
      <c r="B34" s="34">
        <f>IF((B24*($B$26-($B$27-0.05*$B$27)-$B$60))&lt;0,0,B24*($B$26-($B$27-0.05*$B$27)-$B$60))</f>
        <v>175.98738479961102</v>
      </c>
      <c r="C34" s="34">
        <f>B26*C24</f>
        <v>1970.7889317468494</v>
      </c>
      <c r="D34" s="233"/>
    </row>
    <row r="35" spans="1:6">
      <c r="A35" s="171" t="s">
        <v>76</v>
      </c>
      <c r="B35" s="34">
        <f>IF((B19*($B$26-($B$27-0.05*$B$27)-$B$60))&lt;0,0,B19*($B$26-($B$27-0.05*$B$27)-$B$60))</f>
        <v>65.426540389441399</v>
      </c>
      <c r="C35" s="34">
        <f>B35/2</f>
        <v>32.7132701947207</v>
      </c>
      <c r="D35" s="233"/>
    </row>
    <row r="36" spans="1:6">
      <c r="A36" s="171" t="s">
        <v>77</v>
      </c>
      <c r="B36" s="34">
        <f>IF((B18*($B$26-($B$27-0.05*$B$27)-$B$60))&lt;0,0,B18*($B$26-($B$27-0.05*$B$27)-$B$60))</f>
        <v>3156.3498159934147</v>
      </c>
      <c r="C36" s="35" t="s">
        <v>110</v>
      </c>
      <c r="D36" s="174"/>
    </row>
    <row r="37" spans="1:6">
      <c r="A37" s="171" t="s">
        <v>78</v>
      </c>
      <c r="B37" s="34">
        <f>B60</f>
        <v>13</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103</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13</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28825.74253104972</v>
      </c>
      <c r="C5" s="18">
        <f>IF(ISERROR('Eigen informatie GS &amp; warmtenet'!B58),0,'Eigen informatie GS &amp; warmtenet'!B58)</f>
        <v>0</v>
      </c>
      <c r="D5" s="31">
        <f>SUM(D6:D12)</f>
        <v>38041.561673497716</v>
      </c>
      <c r="E5" s="18">
        <f>SUM(E6:E12)</f>
        <v>295.17239273325254</v>
      </c>
      <c r="F5" s="18">
        <f>SUM(F6:F12)</f>
        <v>6000.6004947292731</v>
      </c>
      <c r="G5" s="19"/>
      <c r="H5" s="18"/>
      <c r="I5" s="18"/>
      <c r="J5" s="18">
        <f>SUM(J6:J12)</f>
        <v>0</v>
      </c>
      <c r="K5" s="18"/>
      <c r="L5" s="18"/>
      <c r="M5" s="18"/>
      <c r="N5" s="18">
        <f>SUM(N6:N12)</f>
        <v>3570.8120845482476</v>
      </c>
      <c r="O5" s="18">
        <f>B38*B39*B40</f>
        <v>0</v>
      </c>
      <c r="P5" s="18">
        <f>B46*B47*B48/1000-B46*B47*B48/1000/B49</f>
        <v>0</v>
      </c>
      <c r="R5" s="33"/>
    </row>
    <row r="6" spans="1:18">
      <c r="A6" s="33" t="s">
        <v>53</v>
      </c>
      <c r="B6" s="38">
        <f>B26</f>
        <v>6813.4239674802202</v>
      </c>
      <c r="C6" s="34"/>
      <c r="D6" s="38">
        <f>IF(ISERROR(TER_kantoor_gas_kWh/1000),0,TER_kantoor_gas_kWh/1000)*0.902</f>
        <v>17334.998750766041</v>
      </c>
      <c r="E6" s="34">
        <f>$C$26*'E Balans VL '!I12/100/3.6*1000000</f>
        <v>11.182209647122106</v>
      </c>
      <c r="F6" s="34">
        <f>$C$26*('E Balans VL '!L12+'E Balans VL '!N12)/100/3.6*1000000</f>
        <v>803.14237460558763</v>
      </c>
      <c r="G6" s="35"/>
      <c r="H6" s="34"/>
      <c r="I6" s="34"/>
      <c r="J6" s="34">
        <f>$C$26*('E Balans VL '!D12+'E Balans VL '!E12)/100/3.6*1000000</f>
        <v>0</v>
      </c>
      <c r="K6" s="34"/>
      <c r="L6" s="34"/>
      <c r="M6" s="34"/>
      <c r="N6" s="34">
        <f>$C$26*'E Balans VL '!Y12/100/3.6*1000000</f>
        <v>1.3766200484255062</v>
      </c>
      <c r="O6" s="34"/>
      <c r="P6" s="34"/>
      <c r="R6" s="33"/>
    </row>
    <row r="7" spans="1:18">
      <c r="A7" s="33" t="s">
        <v>52</v>
      </c>
      <c r="B7" s="38">
        <f t="shared" ref="B7:B12" si="0">B27</f>
        <v>3043.2191773702598</v>
      </c>
      <c r="C7" s="34"/>
      <c r="D7" s="38">
        <f>IF(ISERROR(TER_horeca_gas_kWh/1000),0,TER_horeca_gas_kWh/1000)*0.902</f>
        <v>3737.5869042794566</v>
      </c>
      <c r="E7" s="34">
        <f>$C$27*'E Balans VL '!I9/100/3.6*1000000</f>
        <v>157.92105410031283</v>
      </c>
      <c r="F7" s="34">
        <f>$C$27*('E Balans VL '!L9+'E Balans VL '!N9)/100/3.6*1000000</f>
        <v>694.46482444667254</v>
      </c>
      <c r="G7" s="35"/>
      <c r="H7" s="34"/>
      <c r="I7" s="34"/>
      <c r="J7" s="34">
        <f>$C$27*('E Balans VL '!D9+'E Balans VL '!E9)/100/3.6*1000000</f>
        <v>0</v>
      </c>
      <c r="K7" s="34"/>
      <c r="L7" s="34"/>
      <c r="M7" s="34"/>
      <c r="N7" s="34">
        <f>$C$27*'E Balans VL '!Y9/100/3.6*1000000</f>
        <v>0.32136255051426799</v>
      </c>
      <c r="O7" s="34"/>
      <c r="P7" s="34"/>
      <c r="R7" s="33"/>
    </row>
    <row r="8" spans="1:18">
      <c r="A8" s="6" t="s">
        <v>51</v>
      </c>
      <c r="B8" s="38">
        <f t="shared" si="0"/>
        <v>8438.9513694596699</v>
      </c>
      <c r="C8" s="34"/>
      <c r="D8" s="38">
        <f>IF(ISERROR(TER_handel_gas_kWh/1000),0,TER_handel_gas_kWh/1000)*0.902</f>
        <v>5670.4639798374637</v>
      </c>
      <c r="E8" s="34">
        <f>$C$28*'E Balans VL '!I13/100/3.6*1000000</f>
        <v>45.444790133833962</v>
      </c>
      <c r="F8" s="34">
        <f>$C$28*('E Balans VL '!L13+'E Balans VL '!N13)/100/3.6*1000000</f>
        <v>1720.9529672803098</v>
      </c>
      <c r="G8" s="35"/>
      <c r="H8" s="34"/>
      <c r="I8" s="34"/>
      <c r="J8" s="34">
        <f>$C$28*('E Balans VL '!D13+'E Balans VL '!E13)/100/3.6*1000000</f>
        <v>0</v>
      </c>
      <c r="K8" s="34"/>
      <c r="L8" s="34"/>
      <c r="M8" s="34"/>
      <c r="N8" s="34">
        <f>$C$28*'E Balans VL '!Y13/100/3.6*1000000</f>
        <v>41.962448677785545</v>
      </c>
      <c r="O8" s="34"/>
      <c r="P8" s="34"/>
      <c r="R8" s="33"/>
    </row>
    <row r="9" spans="1:18">
      <c r="A9" s="33" t="s">
        <v>50</v>
      </c>
      <c r="B9" s="38">
        <f t="shared" si="0"/>
        <v>779.88210851410406</v>
      </c>
      <c r="C9" s="34"/>
      <c r="D9" s="38">
        <f>IF(ISERROR(TER_gezond_gas_kWh/1000),0,TER_gezond_gas_kWh/1000)*0.902</f>
        <v>1827.6155039658386</v>
      </c>
      <c r="E9" s="34">
        <f>$C$29*'E Balans VL '!I10/100/3.6*1000000</f>
        <v>0.77287203832011075</v>
      </c>
      <c r="F9" s="34">
        <f>$C$29*('E Balans VL '!L10+'E Balans VL '!N10)/100/3.6*1000000</f>
        <v>270.59661241501772</v>
      </c>
      <c r="G9" s="35"/>
      <c r="H9" s="34"/>
      <c r="I9" s="34"/>
      <c r="J9" s="34">
        <f>$C$29*('E Balans VL '!D10+'E Balans VL '!E10)/100/3.6*1000000</f>
        <v>0</v>
      </c>
      <c r="K9" s="34"/>
      <c r="L9" s="34"/>
      <c r="M9" s="34"/>
      <c r="N9" s="34">
        <f>$C$29*'E Balans VL '!Y10/100/3.6*1000000</f>
        <v>6.7201765682028825</v>
      </c>
      <c r="O9" s="34"/>
      <c r="P9" s="34"/>
      <c r="R9" s="33"/>
    </row>
    <row r="10" spans="1:18">
      <c r="A10" s="33" t="s">
        <v>49</v>
      </c>
      <c r="B10" s="38">
        <f t="shared" si="0"/>
        <v>5660.5943878911103</v>
      </c>
      <c r="C10" s="34"/>
      <c r="D10" s="38">
        <f>IF(ISERROR(TER_ander_gas_kWh/1000),0,TER_ander_gas_kWh/1000)*0.902</f>
        <v>1218.206593531572</v>
      </c>
      <c r="E10" s="34">
        <f>$C$30*'E Balans VL '!I14/100/3.6*1000000</f>
        <v>46.30931945413495</v>
      </c>
      <c r="F10" s="34">
        <f>$C$30*('E Balans VL '!L14+'E Balans VL '!N14)/100/3.6*1000000</f>
        <v>1654.9273466773006</v>
      </c>
      <c r="G10" s="35"/>
      <c r="H10" s="34"/>
      <c r="I10" s="34"/>
      <c r="J10" s="34">
        <f>$C$30*('E Balans VL '!D14+'E Balans VL '!E14)/100/3.6*1000000</f>
        <v>0</v>
      </c>
      <c r="K10" s="34"/>
      <c r="L10" s="34"/>
      <c r="M10" s="34"/>
      <c r="N10" s="34">
        <f>$C$30*'E Balans VL '!Y14/100/3.6*1000000</f>
        <v>3265.4202290727003</v>
      </c>
      <c r="O10" s="34"/>
      <c r="P10" s="34"/>
      <c r="R10" s="33"/>
    </row>
    <row r="11" spans="1:18">
      <c r="A11" s="33" t="s">
        <v>54</v>
      </c>
      <c r="B11" s="38">
        <f t="shared" si="0"/>
        <v>223.58072278344201</v>
      </c>
      <c r="C11" s="34"/>
      <c r="D11" s="38">
        <f>IF(ISERROR(TER_onderwijs_gas_kWh/1000),0,TER_onderwijs_gas_kWh/1000)*0.902</f>
        <v>1316.9381541238813</v>
      </c>
      <c r="E11" s="34">
        <f>$C$31*'E Balans VL '!I11/100/3.6*1000000</f>
        <v>0.13780572371641389</v>
      </c>
      <c r="F11" s="34">
        <f>$C$31*('E Balans VL '!L11+'E Balans VL '!N11)/100/3.6*1000000</f>
        <v>86.439928243949339</v>
      </c>
      <c r="G11" s="35"/>
      <c r="H11" s="34"/>
      <c r="I11" s="34"/>
      <c r="J11" s="34">
        <f>$C$31*('E Balans VL '!D11+'E Balans VL '!E11)/100/3.6*1000000</f>
        <v>0</v>
      </c>
      <c r="K11" s="34"/>
      <c r="L11" s="34"/>
      <c r="M11" s="34"/>
      <c r="N11" s="34">
        <f>$C$31*'E Balans VL '!Y11/100/3.6*1000000</f>
        <v>0.7272601788886417</v>
      </c>
      <c r="O11" s="34"/>
      <c r="P11" s="34"/>
      <c r="R11" s="33"/>
    </row>
    <row r="12" spans="1:18">
      <c r="A12" s="33" t="s">
        <v>255</v>
      </c>
      <c r="B12" s="38">
        <f t="shared" si="0"/>
        <v>3866.0907975509199</v>
      </c>
      <c r="C12" s="34"/>
      <c r="D12" s="38">
        <f>IF(ISERROR(TER_rest_gas_kWh/1000),0,TER_rest_gas_kWh/1000)*0.902</f>
        <v>6935.7517869934663</v>
      </c>
      <c r="E12" s="34">
        <f>$C$32*'E Balans VL '!I8/100/3.6*1000000</f>
        <v>33.404341635812109</v>
      </c>
      <c r="F12" s="34">
        <f>$C$32*('E Balans VL '!L8+'E Balans VL '!N8)/100/3.6*1000000</f>
        <v>770.07644106043642</v>
      </c>
      <c r="G12" s="35"/>
      <c r="H12" s="34"/>
      <c r="I12" s="34"/>
      <c r="J12" s="34">
        <f>$C$32*('E Balans VL '!D8+'E Balans VL '!E8)/100/3.6*1000000</f>
        <v>0</v>
      </c>
      <c r="K12" s="34"/>
      <c r="L12" s="34"/>
      <c r="M12" s="34"/>
      <c r="N12" s="34">
        <f>$C$32*'E Balans VL '!Y8/100/3.6*1000000</f>
        <v>254.2839874517303</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28825.74253104972</v>
      </c>
      <c r="C16" s="22">
        <f t="shared" ca="1" si="1"/>
        <v>0</v>
      </c>
      <c r="D16" s="22">
        <f t="shared" ca="1" si="1"/>
        <v>38041.561673497716</v>
      </c>
      <c r="E16" s="22">
        <f t="shared" si="1"/>
        <v>295.17239273325254</v>
      </c>
      <c r="F16" s="22">
        <f t="shared" ca="1" si="1"/>
        <v>6000.6004947292731</v>
      </c>
      <c r="G16" s="22">
        <f t="shared" si="1"/>
        <v>0</v>
      </c>
      <c r="H16" s="22">
        <f t="shared" si="1"/>
        <v>0</v>
      </c>
      <c r="I16" s="22">
        <f t="shared" si="1"/>
        <v>0</v>
      </c>
      <c r="J16" s="22">
        <f t="shared" si="1"/>
        <v>0</v>
      </c>
      <c r="K16" s="22">
        <f t="shared" si="1"/>
        <v>0</v>
      </c>
      <c r="L16" s="22">
        <f t="shared" ca="1" si="1"/>
        <v>0</v>
      </c>
      <c r="M16" s="22">
        <f t="shared" si="1"/>
        <v>0</v>
      </c>
      <c r="N16" s="22">
        <f t="shared" ca="1" si="1"/>
        <v>3570.8120845482476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0.21428741499786838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6176.993852372756</v>
      </c>
      <c r="C20" s="24">
        <f t="shared" ref="C20:P20" ca="1" si="2">C16*C18</f>
        <v>0</v>
      </c>
      <c r="D20" s="24">
        <f t="shared" ca="1" si="2"/>
        <v>7684.3954580465388</v>
      </c>
      <c r="E20" s="24">
        <f t="shared" si="2"/>
        <v>67.004133150448325</v>
      </c>
      <c r="F20" s="24">
        <f t="shared" ca="1" si="2"/>
        <v>1602.1603320927161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6813.4239674802202</v>
      </c>
      <c r="C26" s="40">
        <f>IF(ISERROR(B26*3.6/1000000/'E Balans VL '!Z12*100),0,B26*3.6/1000000/'E Balans VL '!Z12*100)</f>
        <v>0.1447803731911137</v>
      </c>
      <c r="D26" s="236" t="s">
        <v>691</v>
      </c>
      <c r="F26" s="6"/>
    </row>
    <row r="27" spans="1:18">
      <c r="A27" s="231" t="s">
        <v>52</v>
      </c>
      <c r="B27" s="34">
        <f>IF(ISERROR(TER_horeca_ele_kWh/1000),0,TER_horeca_ele_kWh/1000)</f>
        <v>3043.2191773702598</v>
      </c>
      <c r="C27" s="40">
        <f>IF(ISERROR(B27*3.6/1000000/'E Balans VL '!Z9*100),0,B27*3.6/1000000/'E Balans VL '!Z9*100)</f>
        <v>0.23952488237088299</v>
      </c>
      <c r="D27" s="236" t="s">
        <v>691</v>
      </c>
      <c r="F27" s="6"/>
    </row>
    <row r="28" spans="1:18">
      <c r="A28" s="171" t="s">
        <v>51</v>
      </c>
      <c r="B28" s="34">
        <f>IF(ISERROR(TER_handel_ele_kWh/1000),0,TER_handel_ele_kWh/1000)</f>
        <v>8438.9513694596699</v>
      </c>
      <c r="C28" s="40">
        <f>IF(ISERROR(B28*3.6/1000000/'E Balans VL '!Z13*100),0,B28*3.6/1000000/'E Balans VL '!Z13*100)</f>
        <v>0.23637954420703419</v>
      </c>
      <c r="D28" s="236" t="s">
        <v>691</v>
      </c>
      <c r="F28" s="6"/>
    </row>
    <row r="29" spans="1:18">
      <c r="A29" s="231" t="s">
        <v>50</v>
      </c>
      <c r="B29" s="34">
        <f>IF(ISERROR(TER_gezond_ele_kWh/1000),0,TER_gezond_ele_kWh/1000)</f>
        <v>779.88210851410406</v>
      </c>
      <c r="C29" s="40">
        <f>IF(ISERROR(B29*3.6/1000000/'E Balans VL '!Z10*100),0,B29*3.6/1000000/'E Balans VL '!Z10*100)</f>
        <v>9.9770504364137091E-2</v>
      </c>
      <c r="D29" s="236" t="s">
        <v>691</v>
      </c>
      <c r="F29" s="6"/>
    </row>
    <row r="30" spans="1:18">
      <c r="A30" s="231" t="s">
        <v>49</v>
      </c>
      <c r="B30" s="34">
        <f>IF(ISERROR(TER_ander_ele_kWh/1000),0,TER_ander_ele_kWh/1000)</f>
        <v>5660.5943878911103</v>
      </c>
      <c r="C30" s="40">
        <f>IF(ISERROR(B30*3.6/1000000/'E Balans VL '!Z14*100),0,B30*3.6/1000000/'E Balans VL '!Z14*100)</f>
        <v>0.42336476321272853</v>
      </c>
      <c r="D30" s="236" t="s">
        <v>691</v>
      </c>
      <c r="F30" s="6"/>
    </row>
    <row r="31" spans="1:18">
      <c r="A31" s="231" t="s">
        <v>54</v>
      </c>
      <c r="B31" s="34">
        <f>IF(ISERROR(TER_onderwijs_ele_kWh/1000),0,TER_onderwijs_ele_kWh/1000)</f>
        <v>223.58072278344201</v>
      </c>
      <c r="C31" s="40">
        <f>IF(ISERROR(B31*3.6/1000000/'E Balans VL '!Z11*100),0,B31*3.6/1000000/'E Balans VL '!Z11*100)</f>
        <v>4.7209359226786221E-2</v>
      </c>
      <c r="D31" s="236" t="s">
        <v>691</v>
      </c>
    </row>
    <row r="32" spans="1:18">
      <c r="A32" s="231" t="s">
        <v>255</v>
      </c>
      <c r="B32" s="34">
        <f>IF(ISERROR(TER_rest_ele_kWh/1000),0,TER_rest_ele_kWh/1000)</f>
        <v>3866.0907975509199</v>
      </c>
      <c r="C32" s="40">
        <f>IF(ISERROR(B32*3.6/1000000/'E Balans VL '!Z8*100),0,B32*3.6/1000000/'E Balans VL '!Z8*100)</f>
        <v>3.1848593349045932E-2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3528.4792186321583</v>
      </c>
      <c r="C5" s="18">
        <f>IF(ISERROR('Eigen informatie GS &amp; warmtenet'!B59),0,'Eigen informatie GS &amp; warmtenet'!B59)</f>
        <v>0</v>
      </c>
      <c r="D5" s="31">
        <f>SUM(D6:D15)</f>
        <v>3598.4888233502343</v>
      </c>
      <c r="E5" s="18">
        <f>SUM(E6:E15)</f>
        <v>36.552674091162004</v>
      </c>
      <c r="F5" s="18">
        <f>SUM(F6:F15)</f>
        <v>1322.2581415099296</v>
      </c>
      <c r="G5" s="19"/>
      <c r="H5" s="18"/>
      <c r="I5" s="18"/>
      <c r="J5" s="18">
        <f>SUM(J6:J15)</f>
        <v>7.114607912018406</v>
      </c>
      <c r="K5" s="18"/>
      <c r="L5" s="18"/>
      <c r="M5" s="18"/>
      <c r="N5" s="18">
        <f>SUM(N6:N15)</f>
        <v>267.97273579437876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94.738755421947801</v>
      </c>
      <c r="C8" s="34"/>
      <c r="D8" s="38">
        <f>IF( ISERROR(IND_metaal_Gas_kWH/1000),0,IND_metaal_Gas_kWH/1000)*0.902</f>
        <v>0</v>
      </c>
      <c r="E8" s="34">
        <f>C30*'E Balans VL '!I18/100/3.6*1000000</f>
        <v>0.86276877253350792</v>
      </c>
      <c r="F8" s="34">
        <f>C30*'E Balans VL '!L18/100/3.6*1000000+C30*'E Balans VL '!N18/100/3.6*1000000</f>
        <v>12.495322381689155</v>
      </c>
      <c r="G8" s="35"/>
      <c r="H8" s="34"/>
      <c r="I8" s="34"/>
      <c r="J8" s="41">
        <f>C30*'E Balans VL '!D18/100/3.6*1000000+C30*'E Balans VL '!E18/100/3.6*1000000</f>
        <v>1.5535780332003046</v>
      </c>
      <c r="K8" s="34"/>
      <c r="L8" s="34"/>
      <c r="M8" s="34"/>
      <c r="N8" s="34">
        <f>C30*'E Balans VL '!Y18/100/3.6*1000000</f>
        <v>0.32557946751118394</v>
      </c>
      <c r="O8" s="34"/>
      <c r="P8" s="34"/>
      <c r="R8" s="33"/>
    </row>
    <row r="9" spans="1:18">
      <c r="A9" s="6" t="s">
        <v>32</v>
      </c>
      <c r="B9" s="38">
        <f t="shared" si="0"/>
        <v>1250.3410605035699</v>
      </c>
      <c r="C9" s="34"/>
      <c r="D9" s="38">
        <f>IF( ISERROR(IND_andere_gas_kWh/1000),0,IND_andere_gas_kWh/1000)*0.902</f>
        <v>1288.4256970616666</v>
      </c>
      <c r="E9" s="34">
        <f>C31*'E Balans VL '!I19/100/3.6*1000000</f>
        <v>7.2271581777273699</v>
      </c>
      <c r="F9" s="34">
        <f>C31*'E Balans VL '!L19/100/3.6*1000000+C31*'E Balans VL '!N19/100/3.6*1000000</f>
        <v>994.70647766164302</v>
      </c>
      <c r="G9" s="35"/>
      <c r="H9" s="34"/>
      <c r="I9" s="34"/>
      <c r="J9" s="41">
        <f>C31*'E Balans VL '!D19/100/3.6*1000000+C31*'E Balans VL '!E19/100/3.6*1000000</f>
        <v>0.11826837592850972</v>
      </c>
      <c r="K9" s="34"/>
      <c r="L9" s="34"/>
      <c r="M9" s="34"/>
      <c r="N9" s="34">
        <f>C31*'E Balans VL '!Y19/100/3.6*1000000</f>
        <v>94.732257128581921</v>
      </c>
      <c r="O9" s="34"/>
      <c r="P9" s="34"/>
      <c r="R9" s="33"/>
    </row>
    <row r="10" spans="1:18">
      <c r="A10" s="6" t="s">
        <v>40</v>
      </c>
      <c r="B10" s="38">
        <f t="shared" si="0"/>
        <v>299.57243976002502</v>
      </c>
      <c r="C10" s="34"/>
      <c r="D10" s="38">
        <f>IF( ISERROR(IND_voed_gas_kWh/1000),0,IND_voed_gas_kWh/1000)*0.902</f>
        <v>0</v>
      </c>
      <c r="E10" s="34">
        <f>C32*'E Balans VL '!I20/100/3.6*1000000</f>
        <v>2.9455808096731744</v>
      </c>
      <c r="F10" s="34">
        <f>C32*'E Balans VL '!L20/100/3.6*1000000+C32*'E Balans VL '!N20/100/3.6*1000000</f>
        <v>33.271429647876481</v>
      </c>
      <c r="G10" s="35"/>
      <c r="H10" s="34"/>
      <c r="I10" s="34"/>
      <c r="J10" s="41">
        <f>C32*'E Balans VL '!D20/100/3.6*1000000+C32*'E Balans VL '!E20/100/3.6*1000000</f>
        <v>1.1807509827986144E-3</v>
      </c>
      <c r="K10" s="34"/>
      <c r="L10" s="34"/>
      <c r="M10" s="34"/>
      <c r="N10" s="34">
        <f>C32*'E Balans VL '!Y20/100/3.6*1000000</f>
        <v>4.4359631641901327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367.24317665969801</v>
      </c>
      <c r="C13" s="34"/>
      <c r="D13" s="38">
        <f>IF( ISERROR(IND_papier_gas_kWh/1000),0,IND_papier_gas_kWh/1000)*0.902</f>
        <v>121.82318295380296</v>
      </c>
      <c r="E13" s="34">
        <f>C35*'E Balans VL '!I23/100/3.6*1000000</f>
        <v>12.508835065210071</v>
      </c>
      <c r="F13" s="34">
        <f>C35*'E Balans VL '!L23/100/3.6*1000000+C35*'E Balans VL '!N23/100/3.6*1000000</f>
        <v>60.659953772355045</v>
      </c>
      <c r="G13" s="35"/>
      <c r="H13" s="34"/>
      <c r="I13" s="34"/>
      <c r="J13" s="41">
        <f>C35*'E Balans VL '!D23/100/3.6*1000000+C35*'E Balans VL '!E23/100/3.6*1000000</f>
        <v>0</v>
      </c>
      <c r="K13" s="34"/>
      <c r="L13" s="34"/>
      <c r="M13" s="34"/>
      <c r="N13" s="34">
        <f>C35*'E Balans VL '!Y23/100/3.6*1000000</f>
        <v>135.13564031224251</v>
      </c>
      <c r="O13" s="34"/>
      <c r="P13" s="34"/>
      <c r="R13" s="33"/>
    </row>
    <row r="14" spans="1:18">
      <c r="A14" s="6" t="s">
        <v>33</v>
      </c>
      <c r="B14" s="38">
        <f t="shared" si="0"/>
        <v>434.494067387607</v>
      </c>
      <c r="C14" s="34"/>
      <c r="D14" s="38">
        <f>IF( ISERROR(IND_chemie_gas_kWh/1000),0,IND_chemie_gas_kWh/1000)*0.902</f>
        <v>0</v>
      </c>
      <c r="E14" s="34">
        <f>C36*'E Balans VL '!I24/100/3.6*1000000</f>
        <v>3.2850074764032495</v>
      </c>
      <c r="F14" s="34">
        <f>C36*'E Balans VL '!L24/100/3.6*1000000+C36*'E Balans VL '!N24/100/3.6*1000000</f>
        <v>8.0393415418432497</v>
      </c>
      <c r="G14" s="35"/>
      <c r="H14" s="34"/>
      <c r="I14" s="34"/>
      <c r="J14" s="41">
        <f>C36*'E Balans VL '!D24/100/3.6*1000000+C36*'E Balans VL '!E24/100/3.6*1000000</f>
        <v>0</v>
      </c>
      <c r="K14" s="34"/>
      <c r="L14" s="34"/>
      <c r="M14" s="34"/>
      <c r="N14" s="34">
        <f>C36*'E Balans VL '!Y24/100/3.6*1000000</f>
        <v>0.12599207561822143</v>
      </c>
      <c r="O14" s="34"/>
      <c r="P14" s="34"/>
      <c r="R14" s="33"/>
    </row>
    <row r="15" spans="1:18">
      <c r="A15" s="6" t="s">
        <v>265</v>
      </c>
      <c r="B15" s="38">
        <f t="shared" si="0"/>
        <v>1082.0897188993101</v>
      </c>
      <c r="C15" s="34"/>
      <c r="D15" s="38">
        <f>IF( ISERROR(IND_rest_gas_kWh/1000),0,IND_rest_gas_kWh/1000)*0.902</f>
        <v>2188.239943334765</v>
      </c>
      <c r="E15" s="34">
        <f>C37*'E Balans VL '!I15/100/3.6*1000000</f>
        <v>9.7233237896146321</v>
      </c>
      <c r="F15" s="34">
        <f>C37*'E Balans VL '!L15/100/3.6*1000000+C37*'E Balans VL '!N15/100/3.6*1000000</f>
        <v>213.08561650452273</v>
      </c>
      <c r="G15" s="35"/>
      <c r="H15" s="34"/>
      <c r="I15" s="34"/>
      <c r="J15" s="41">
        <f>C37*'E Balans VL '!D15/100/3.6*1000000+C37*'E Balans VL '!E15/100/3.6*1000000</f>
        <v>5.4415807519067929</v>
      </c>
      <c r="K15" s="34"/>
      <c r="L15" s="34"/>
      <c r="M15" s="34"/>
      <c r="N15" s="34">
        <f>C37*'E Balans VL '!Y15/100/3.6*1000000</f>
        <v>33.217303646234797</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3528.4792186321583</v>
      </c>
      <c r="C18" s="22">
        <f>C5+C16</f>
        <v>0</v>
      </c>
      <c r="D18" s="22">
        <f>MAX((D5+D16),0)</f>
        <v>3598.4888233502343</v>
      </c>
      <c r="E18" s="22">
        <f>MAX((E5+E16),0)</f>
        <v>36.552674091162004</v>
      </c>
      <c r="F18" s="22">
        <f>MAX((F5+F16),0)</f>
        <v>1322.2581415099296</v>
      </c>
      <c r="G18" s="22"/>
      <c r="H18" s="22"/>
      <c r="I18" s="22"/>
      <c r="J18" s="22">
        <f>MAX((J5+J16),0)</f>
        <v>7.114607912018406</v>
      </c>
      <c r="K18" s="22"/>
      <c r="L18" s="22">
        <f>MAX((L5+L16),0)</f>
        <v>0</v>
      </c>
      <c r="M18" s="22"/>
      <c r="N18" s="22">
        <f>MAX((N5+N16),0)</f>
        <v>267.97273579437876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0.21428741499786838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756.10869063438372</v>
      </c>
      <c r="C22" s="24">
        <f ca="1">C18*C20</f>
        <v>0</v>
      </c>
      <c r="D22" s="24">
        <f>D18*D20</f>
        <v>726.8947423167474</v>
      </c>
      <c r="E22" s="24">
        <f>E18*E20</f>
        <v>8.2974570186937751</v>
      </c>
      <c r="F22" s="24">
        <f>F18*F20</f>
        <v>353.0429237831512</v>
      </c>
      <c r="G22" s="24"/>
      <c r="H22" s="24"/>
      <c r="I22" s="24"/>
      <c r="J22" s="24">
        <f>J18*J20</f>
        <v>2.5185712008545158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94.738755421947801</v>
      </c>
      <c r="C30" s="40">
        <f>IF(ISERROR(B30*3.6/1000000/'E Balans VL '!Z18*100),0,B30*3.6/1000000/'E Balans VL '!Z18*100)</f>
        <v>5.2715782266092625E-3</v>
      </c>
      <c r="D30" s="236" t="s">
        <v>691</v>
      </c>
    </row>
    <row r="31" spans="1:18">
      <c r="A31" s="6" t="s">
        <v>32</v>
      </c>
      <c r="B31" s="38">
        <f>IF( ISERROR(IND_ander_ele_kWh/1000),0,IND_ander_ele_kWh/1000)</f>
        <v>1250.3410605035699</v>
      </c>
      <c r="C31" s="40">
        <f>IF(ISERROR(B31*3.6/1000000/'E Balans VL '!Z19*100),0,B31*3.6/1000000/'E Balans VL '!Z19*100)</f>
        <v>5.812507212868738E-2</v>
      </c>
      <c r="D31" s="236" t="s">
        <v>691</v>
      </c>
    </row>
    <row r="32" spans="1:18">
      <c r="A32" s="171" t="s">
        <v>40</v>
      </c>
      <c r="B32" s="38">
        <f>IF( ISERROR(IND_voed_ele_kWh/1000),0,IND_voed_ele_kWh/1000)</f>
        <v>299.57243976002502</v>
      </c>
      <c r="C32" s="40">
        <f>IF(ISERROR(B32*3.6/1000000/'E Balans VL '!Z20*100),0,B32*3.6/1000000/'E Balans VL '!Z20*100)</f>
        <v>1.0589280733352259E-2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367.24317665969801</v>
      </c>
      <c r="C35" s="40">
        <f>IF(ISERROR(B35*3.6/1000000/'E Balans VL '!Z22*100),0,B35*3.6/1000000/'E Balans VL '!Z22*100)</f>
        <v>7.3805522600882537E-2</v>
      </c>
      <c r="D35" s="236" t="s">
        <v>691</v>
      </c>
    </row>
    <row r="36" spans="1:5">
      <c r="A36" s="171" t="s">
        <v>33</v>
      </c>
      <c r="B36" s="38">
        <f>IF( ISERROR(IND_chemie_ele_kWh/1000),0,IND_chemie_ele_kWh/1000)</f>
        <v>434.494067387607</v>
      </c>
      <c r="C36" s="40">
        <f>IF(ISERROR(B36*3.6/1000000/'E Balans VL '!Z24*100),0,B36*3.6/1000000/'E Balans VL '!Z24*100)</f>
        <v>1.0699513665798945E-2</v>
      </c>
      <c r="D36" s="236" t="s">
        <v>691</v>
      </c>
    </row>
    <row r="37" spans="1:5">
      <c r="A37" s="171" t="s">
        <v>265</v>
      </c>
      <c r="B37" s="38">
        <f>IF( ISERROR(IND_rest_ele_kWh/1000),0,IND_rest_ele_kWh/1000)</f>
        <v>1082.0897188993101</v>
      </c>
      <c r="C37" s="40">
        <f>IF(ISERROR(B37*3.6/1000000/'E Balans VL '!Z15*100),0,B37*3.6/1000000/'E Balans VL '!Z15*100)</f>
        <v>8.1713758659199519E-3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767.37183810121996</v>
      </c>
      <c r="C5" s="18">
        <f>'Eigen informatie GS &amp; warmtenet'!B60</f>
        <v>0</v>
      </c>
      <c r="D5" s="31">
        <f>IF(ISERROR(SUM(LB_lb_gas_kWh,LB_rest_gas_kWh)/1000),0,SUM(LB_lb_gas_kWh,LB_rest_gas_kWh)/1000)*0.902</f>
        <v>1627.1571591720945</v>
      </c>
      <c r="E5" s="18">
        <f>B17*'E Balans VL '!I25/3.6*1000000/100</f>
        <v>7.2291568709109288</v>
      </c>
      <c r="F5" s="18">
        <f>B17*('E Balans VL '!L25/3.6*1000000+'E Balans VL '!N25/3.6*1000000)/100</f>
        <v>2504.1889760715417</v>
      </c>
      <c r="G5" s="19"/>
      <c r="H5" s="18"/>
      <c r="I5" s="18"/>
      <c r="J5" s="18">
        <f>('E Balans VL '!D25+'E Balans VL '!E25)/3.6*1000000*landbouw!B17/100</f>
        <v>94.92762886902446</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767.37183810121996</v>
      </c>
      <c r="C8" s="22">
        <f>C5+C6</f>
        <v>0</v>
      </c>
      <c r="D8" s="22">
        <f>MAX((D5+D6),0)</f>
        <v>1627.1571591720945</v>
      </c>
      <c r="E8" s="22">
        <f>MAX((E5+E6),0)</f>
        <v>7.2291568709109288</v>
      </c>
      <c r="F8" s="22">
        <f>MAX((F5+F6),0)</f>
        <v>2504.1889760715417</v>
      </c>
      <c r="G8" s="22"/>
      <c r="H8" s="22"/>
      <c r="I8" s="22"/>
      <c r="J8" s="22">
        <f>MAX((J5+J6),0)</f>
        <v>94.92762886902446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0.21428741499786838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164.4381275288732</v>
      </c>
      <c r="C12" s="24">
        <f ca="1">C8*C10</f>
        <v>0</v>
      </c>
      <c r="D12" s="24">
        <f>D8*D10</f>
        <v>328.6857461527631</v>
      </c>
      <c r="E12" s="24">
        <f>E8*E10</f>
        <v>1.6410186096967809</v>
      </c>
      <c r="F12" s="24">
        <f>F8*F10</f>
        <v>668.61845661110169</v>
      </c>
      <c r="G12" s="24"/>
      <c r="H12" s="24"/>
      <c r="I12" s="24"/>
      <c r="J12" s="24">
        <f>J8*J10</f>
        <v>33.604380619634654</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0.10388988466891802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42.993397847821647</v>
      </c>
      <c r="C26" s="246">
        <f>B26*'GWP N2O_CH4'!B5</f>
        <v>902.86135480425457</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5.6682668072964537</v>
      </c>
      <c r="C27" s="246">
        <f>B27*'GWP N2O_CH4'!B5</f>
        <v>119.03360295322553</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0.60983902983032312</v>
      </c>
      <c r="C28" s="246">
        <f>B28*'GWP N2O_CH4'!B4</f>
        <v>189.05009924740017</v>
      </c>
      <c r="D28" s="51"/>
    </row>
    <row r="29" spans="1:4">
      <c r="A29" s="42" t="s">
        <v>272</v>
      </c>
      <c r="B29" s="246">
        <f>B34*'ha_N2O bodem landbouw'!B4</f>
        <v>8.5102079699387403</v>
      </c>
      <c r="C29" s="246">
        <f>B29*'GWP N2O_CH4'!B4</f>
        <v>2638.1644706810093</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2.2974882482657165E-3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5.1869075124288058E-5</v>
      </c>
      <c r="C5" s="435" t="s">
        <v>210</v>
      </c>
      <c r="D5" s="420">
        <f>SUM(D6:D11)</f>
        <v>6.2745097041855112E-5</v>
      </c>
      <c r="E5" s="420">
        <f>SUM(E6:E11)</f>
        <v>4.5430636230764506E-3</v>
      </c>
      <c r="F5" s="433" t="s">
        <v>210</v>
      </c>
      <c r="G5" s="420">
        <f>SUM(G6:G11)</f>
        <v>0.86287388700075995</v>
      </c>
      <c r="H5" s="420">
        <f>SUM(H6:H11)</f>
        <v>0.15602622278264608</v>
      </c>
      <c r="I5" s="435" t="s">
        <v>210</v>
      </c>
      <c r="J5" s="435" t="s">
        <v>210</v>
      </c>
      <c r="K5" s="435" t="s">
        <v>210</v>
      </c>
      <c r="L5" s="435" t="s">
        <v>210</v>
      </c>
      <c r="M5" s="420">
        <f>SUM(M6:M11)</f>
        <v>4.5540999089195552E-2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1.2232859980796152E-5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1.4247385374457573E-5</v>
      </c>
      <c r="E6" s="423">
        <f>vkm_GW_PW*SUMIFS(TableVerdeelsleutelVkm[LPG],TableVerdeelsleutelVkm[Voertuigtype],"Lichte voertuigen")*SUMIFS(TableECFTransport[EnergieConsumptieFactor (PJ per km)],TableECFTransport[Index],CONCATENATE($A6,"_LPG_LPG"))</f>
        <v>9.2433375149836977E-4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0.14421344360321728</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3.4755417091423643E-2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8.0088681713713847E-3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1.7556611550947144E-7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2.9042510047387178E-2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7.793140357102244E-7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1.2922969550976232E-3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7.147057394685956E-6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1.3594932925122697E-5</v>
      </c>
      <c r="E8" s="423">
        <f>vkm_NGW_PW*SUMIFS(TableVerdeelsleutelVkm[LPG],TableVerdeelsleutelVkm[Voertuigtype],"Lichte voertuigen")*SUMIFS(TableECFTransport[EnergieConsumptieFactor (PJ per km)],TableECFTransport[Index],CONCATENATE($A8,"_LPG_LPG"))</f>
        <v>8.3566639907271887E-4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0.1227408100587917</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3.1613088778522792E-2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6.9094939335600973E-3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5.3396304708332561E-8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1.1326863726050445E-2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2.8608787164560793E-7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5.040076677502454E-4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3.1293117471204496E-5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3.4902778742274847E-5</v>
      </c>
      <c r="E10" s="423">
        <f>vkm_SW_PW*SUMIFS(TableVerdeelsleutelVkm[LPG],TableVerdeelsleutelVkm[Voertuigtype],"Lichte voertuigen")*SUMIFS(TableECFTransport[EnergieConsumptieFactor (PJ per km)],TableECFTransport[Index],CONCATENATE($A10,"_LPG_LPG"))</f>
        <v>2.7830634725053618E-3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0.40569815966805911</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8.9652233124561373E-2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2.2158384561324348E-2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9.6707785738364543E-7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0.14985209989725426</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4.4183862309159689E-6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6.6679478000918569E-3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14.40807642341335</v>
      </c>
      <c r="C14" s="22"/>
      <c r="D14" s="22">
        <f t="shared" ref="D14:M14" si="0">((D5)*10^9/3600)+D12</f>
        <v>17.429193622737532</v>
      </c>
      <c r="E14" s="22">
        <f t="shared" si="0"/>
        <v>1261.9621175212365</v>
      </c>
      <c r="F14" s="22"/>
      <c r="G14" s="22">
        <f t="shared" si="0"/>
        <v>239687.19083354445</v>
      </c>
      <c r="H14" s="22">
        <f t="shared" si="0"/>
        <v>43340.617439623915</v>
      </c>
      <c r="I14" s="22"/>
      <c r="J14" s="22"/>
      <c r="K14" s="22"/>
      <c r="L14" s="22"/>
      <c r="M14" s="22">
        <f t="shared" si="0"/>
        <v>12650.277524776542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0.21428741499786838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3.0874694518649797</v>
      </c>
      <c r="C18" s="24"/>
      <c r="D18" s="24">
        <f t="shared" ref="D18:M18" si="1">D14*D16</f>
        <v>3.5206971117929817</v>
      </c>
      <c r="E18" s="24">
        <f t="shared" si="1"/>
        <v>286.4654006773207</v>
      </c>
      <c r="F18" s="24"/>
      <c r="G18" s="24">
        <f t="shared" si="1"/>
        <v>63996.479952556372</v>
      </c>
      <c r="H18" s="24">
        <f t="shared" si="1"/>
        <v>10791.813742466355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7.7050314882944808E-5</v>
      </c>
      <c r="C50" s="316">
        <f t="shared" ref="C50:P50" si="2">SUM(C51:C52)</f>
        <v>0</v>
      </c>
      <c r="D50" s="316">
        <f t="shared" si="2"/>
        <v>0</v>
      </c>
      <c r="E50" s="316">
        <f t="shared" si="2"/>
        <v>0</v>
      </c>
      <c r="F50" s="316">
        <f t="shared" si="2"/>
        <v>0</v>
      </c>
      <c r="G50" s="316">
        <f t="shared" si="2"/>
        <v>1.5367837213134212E-2</v>
      </c>
      <c r="H50" s="316">
        <f t="shared" si="2"/>
        <v>0</v>
      </c>
      <c r="I50" s="316">
        <f t="shared" si="2"/>
        <v>0</v>
      </c>
      <c r="J50" s="316">
        <f t="shared" si="2"/>
        <v>0</v>
      </c>
      <c r="K50" s="316">
        <f t="shared" si="2"/>
        <v>0</v>
      </c>
      <c r="L50" s="316">
        <f t="shared" si="2"/>
        <v>0</v>
      </c>
      <c r="M50" s="316">
        <f t="shared" si="2"/>
        <v>6.7924203715512418E-4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7.7050314882944808E-5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1.5367837213134212E-2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6.7924203715512418E-4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21.402865245262447</v>
      </c>
      <c r="C54" s="22">
        <f t="shared" ref="C54:P54" si="3">(C50)*10^9/3600</f>
        <v>0</v>
      </c>
      <c r="D54" s="22">
        <f t="shared" si="3"/>
        <v>0</v>
      </c>
      <c r="E54" s="22">
        <f t="shared" si="3"/>
        <v>0</v>
      </c>
      <c r="F54" s="22">
        <f t="shared" si="3"/>
        <v>0</v>
      </c>
      <c r="G54" s="22">
        <f t="shared" si="3"/>
        <v>4268.8436703150592</v>
      </c>
      <c r="H54" s="22">
        <f t="shared" si="3"/>
        <v>0</v>
      </c>
      <c r="I54" s="22">
        <f t="shared" si="3"/>
        <v>0</v>
      </c>
      <c r="J54" s="22">
        <f t="shared" si="3"/>
        <v>0</v>
      </c>
      <c r="K54" s="22">
        <f t="shared" si="3"/>
        <v>0</v>
      </c>
      <c r="L54" s="22">
        <f t="shared" si="3"/>
        <v>0</v>
      </c>
      <c r="M54" s="22">
        <f t="shared" si="3"/>
        <v>188.67834365420114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0.21428741499786838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4.5863646669550082</v>
      </c>
      <c r="C58" s="24">
        <f t="shared" ref="C58:P58" ca="1" si="4">C54*C56</f>
        <v>0</v>
      </c>
      <c r="D58" s="24">
        <f t="shared" si="4"/>
        <v>0</v>
      </c>
      <c r="E58" s="24">
        <f t="shared" si="4"/>
        <v>0</v>
      </c>
      <c r="F58" s="24">
        <f t="shared" si="4"/>
        <v>0</v>
      </c>
      <c r="G58" s="24">
        <f t="shared" si="4"/>
        <v>1139.7812599741208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17</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2518.6687914238973</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2535.6687914238973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2021-06-29T16:40:18Z</dcterms:modified>
</cp:coreProperties>
</file>