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N6" i="17"/>
  <c r="L6" i="17"/>
  <c r="F6" i="17"/>
  <c r="D6" i="17"/>
  <c r="C6" i="17"/>
  <c r="N16" i="16"/>
  <c r="L16" i="16"/>
  <c r="F16" i="16"/>
  <c r="D16" i="16"/>
  <c r="C16" i="16"/>
  <c r="B16" i="16"/>
  <c r="B13" i="15"/>
  <c r="H48" i="18" l="1"/>
  <c r="C48" i="18"/>
  <c r="E48" i="18"/>
  <c r="E8" i="18" s="1"/>
  <c r="E10" i="18" s="1"/>
  <c r="I48" i="18"/>
  <c r="H8" i="18" s="1"/>
  <c r="H10" i="18" s="1"/>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<sst xmlns="http://schemas.openxmlformats.org/spreadsheetml/2006/main" count="2565" uniqueCount="965">
  <si>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</si>
  <si>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</si>
  <si>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</si>
  <si>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</si>
  <si>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</si>
  <si>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</si>
  <si>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</si>
  <si>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</si>
  <si>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</si>
  <si>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</si>
  <si>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</si>
  <si>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</si>
  <si>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</si>
  <si>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</si>
  <si>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</si>
  <si>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</si>
  <si>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</si>
  <si>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</si>
  <si>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</si>
  <si>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</si>
  <si>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</si>
  <si>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</si>
  <si>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</si>
  <si>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</si>
  <si>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</si>
  <si>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</si>
  <si>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</si>
  <si>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</si>
  <si>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</si>
  <si>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</si>
  <si>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</si>
  <si>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</si>
  <si>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</si>
  <si>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</si>
  <si>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</si>
  <si>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</si>
  <si>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</si>
  <si>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</si>
  <si>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</si>
  <si>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</si>
  <si>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</si>
  <si>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</si>
  <si>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</si>
  <si>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</si>
  <si>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</si>
  <si>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</si>
  <si>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</si>
  <si>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</si>
  <si>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</si>
  <si>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</si>
  <si>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</si>
  <si>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</si>
  <si>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</si>
  <si>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</si>
  <si>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</si>
  <si>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</si>
  <si>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</si>
  <si>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</si>
  <si>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</si>
  <si>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</si>
  <si>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</si>
  <si>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</si>
  <si>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</si>
  <si>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</si>
  <si>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</si>
  <si>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</si>
  <si>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</si>
  <si>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</si>
  <si>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</si>
  <si>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</si>
  <si>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</si>
  <si>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</si>
  <si>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</si>
  <si>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</si>
  <si>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</si>
  <si>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</si>
  <si>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</si>
  <si>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</si>
  <si>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</si>
  <si>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</si>
  <si>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</si>
  <si>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</si>
  <si>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</si>
  <si>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</si>
  <si>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</si>
  <si>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</si>
  <si>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</si>
  <si>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</si>
  <si>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</si>
  <si>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</si>
  <si>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</si>
  <si>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</si>
  <si>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</si>
  <si>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</si>
  <si>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</si>
  <si>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</si>
  <si>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</si>
  <si>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</si>
  <si>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</si>
  <si>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</si>
  <si>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</si>
  <si>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</si>
  <si>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</si>
  <si>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</si>
  <si>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</si>
  <si>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</si>
  <si>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</si>
  <si>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</si>
  <si>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</si>
  <si>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</si>
  <si>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</si>
  <si>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</si>
  <si>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</si>
  <si>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</si>
  <si>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</si>
  <si>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</si>
  <si>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</si>
  <si>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</si>
  <si>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</si>
  <si>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</si>
  <si>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</si>
  <si>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</si>
  <si>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</si>
  <si>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</si>
  <si>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</si>
  <si>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</si>
  <si>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</si>
  <si>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</si>
  <si>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</si>
  <si>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</si>
  <si>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</si>
  <si>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</si>
  <si>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</si>
  <si>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</si>
  <si>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</si>
  <si>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</si>
  <si>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</si>
  <si>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</si>
  <si>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</si>
  <si>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</si>
  <si>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</si>
  <si>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</si>
  <si>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</si>
  <si>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</si>
  <si>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</si>
  <si>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</si>
  <si>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</si>
  <si>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</si>
  <si>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</si>
  <si>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</si>
  <si>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</si>
  <si>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</si>
  <si>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</si>
  <si>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</si>
  <si>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</si>
  <si>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</si>
  <si>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</si>
  <si>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</si>
  <si>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</si>
  <si>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</si>
  <si>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</si>
  <si>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</si>
  <si>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</si>
  <si>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</si>
  <si>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</si>
  <si>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</si>
  <si>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</si>
  <si>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</si>
  <si>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</si>
  <si>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</si>
  <si>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</si>
  <si>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</si>
  <si>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</si>
  <si>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</si>
  <si>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</si>
  <si>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</si>
  <si>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</si>
  <si>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</si>
  <si>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</si>
  <si>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</si>
  <si>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</si>
  <si>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</si>
  <si>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</si>
  <si>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</si>
  <si>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</si>
  <si>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</si>
  <si>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</si>
  <si>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</si>
  <si>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</si>
  <si>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</si>
  <si>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</si>
  <si>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</si>
  <si>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</si>
  <si>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</si>
  <si>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</si>
  <si>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</si>
  <si>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</si>
  <si>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</si>
  <si>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</si>
  <si>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</si>
  <si>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</si>
  <si>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</si>
  <si>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</si>
  <si>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</si>
  <si>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</si>
  <si>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</si>
  <si>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</si>
  <si>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</si>
  <si>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</si>
  <si>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</si>
  <si>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</si>
  <si>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</si>
  <si>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</si>
  <si>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</si>
  <si>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</si>
  <si>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</si>
  <si>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</si>
  <si>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</si>
  <si>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</si>
  <si>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</si>
  <si>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</si>
  <si>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</si>
  <si>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</si>
  <si>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</si>
  <si>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</si>
  <si>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</si>
  <si>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</si>
  <si>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</si>
  <si>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</si>
  <si>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</si>
  <si>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</si>
  <si>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</si>
  <si>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</si>
  <si>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</si>
  <si>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</si>
  <si>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</si>
  <si>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</si>
  <si>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</si>
  <si>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</si>
  <si>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</si>
  <si>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</si>
  <si>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</si>
  <si>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</si>
  <si>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</si>
  <si>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</si>
  <si>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</si>
  <si>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</si>
  <si>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</si>
  <si>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</si>
  <si>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</si>
  <si>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</si>
  <si>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</si>
  <si>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</si>
  <si>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</si>
  <si>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</si>
  <si>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</si>
  <si>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</si>
  <si>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</si>
  <si>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</si>
  <si>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</si>
  <si>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</si>
  <si>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</si>
  <si>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</si>
  <si>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</si>
  <si>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</si>
  <si>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</si>
  <si>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</si>
  <si>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</si>
  <si>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</si>
  <si>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</si>
  <si>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</si>
  <si>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</si>
  <si>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</si>
  <si>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</si>
  <si>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</si>
  <si>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</si>
  <si>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</si>
  <si>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</si>
  <si>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</si>
  <si>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</si>
  <si>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</si>
  <si>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</si>
  <si>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</si>
  <si>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</si>
  <si>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</si>
  <si>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</si>
  <si>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</si>
  <si>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</si>
  <si>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</si>
  <si>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</si>
  <si>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</si>
  <si>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</si>
  <si>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</si>
  <si>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</si>
  <si>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</si>
  <si>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</si>
  <si>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</si>
  <si>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</si>
  <si>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</si>
  <si>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</si>
  <si>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</si>
  <si>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</si>
  <si>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</si>
  <si>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</si>
  <si>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</si>
  <si>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</si>
  <si>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</si>
  <si>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</si>
  <si>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</si>
  <si>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</si>
  <si>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</si>
  <si>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</si>
  <si>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</si>
  <si>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</si>
  <si>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</si>
  <si>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</si>
  <si>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</si>
  <si>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</si>
  <si>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</si>
  <si>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</si>
  <si>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</si>
  <si>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</si>
  <si>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</si>
  <si>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</si>
  <si>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</si>
  <si>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</si>
  <si>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</si>
  <si>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</si>
  <si>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</si>
  <si>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</si>
  <si>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</si>
  <si>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</si>
  <si>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</si>
  <si>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</si>
  <si>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</si>
  <si>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</si>
  <si>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</si>
  <si>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</si>
  <si>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</si>
  <si>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</si>
  <si>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</si>
  <si>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</si>
  <si>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</si>
  <si>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</si>
  <si>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</si>
  <si>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</si>
  <si>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</si>
  <si>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</si>
  <si>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</si>
  <si>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</si>
  <si>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</si>
  <si>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</si>
  <si>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</si>
  <si>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</si>
  <si>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</si>
  <si>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</si>
  <si>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</si>
  <si>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</si>
  <si>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</si>
  <si>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</si>
  <si>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</si>
  <si>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</si>
  <si>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</si>
  <si>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</si>
  <si>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</si>
  <si>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</si>
  <si>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</si>
  <si>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</si>
  <si>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</si>
  <si>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</si>
  <si>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</si>
  <si>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</si>
  <si>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</si>
  <si>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</si>
  <si>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</si>
  <si>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</si>
  <si>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</si>
  <si>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</si>
  <si>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</si>
  <si>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</si>
  <si>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</si>
  <si>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</si>
  <si>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</si>
  <si>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</si>
  <si>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</si>
  <si>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</si>
  <si>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</si>
  <si>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</si>
  <si>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</si>
  <si>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</si>
  <si>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</si>
  <si>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</si>
  <si>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</si>
  <si>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</si>
  <si>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</si>
  <si>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</si>
  <si>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</si>
  <si>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</si>
  <si>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</si>
  <si>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</si>
  <si>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</si>
  <si>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</si>
  <si>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</si>
  <si>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</si>
  <si>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</si>
  <si>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</si>
  <si>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</si>
  <si>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</si>
  <si>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</si>
  <si>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</si>
  <si>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</si>
  <si>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</si>
  <si>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</si>
  <si>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</si>
  <si>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</si>
  <si>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</si>
  <si>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</si>
  <si>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</si>
  <si>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</si>
  <si>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</si>
  <si>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</si>
  <si>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</si>
  <si>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</si>
  <si>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</si>
  <si>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</si>
  <si>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</si>
  <si>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</si>
  <si>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</si>
  <si>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</si>
  <si>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</si>
  <si>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</si>
  <si>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</si>
  <si>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</si>
  <si>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</si>
  <si>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</si>
  <si>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</si>
  <si>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</si>
  <si>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</si>
  <si>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</si>
  <si>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</si>
  <si>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</si>
  <si>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</si>
  <si>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</si>
  <si>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</si>
  <si>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</si>
  <si>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</si>
  <si>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</si>
  <si>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</si>
  <si>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</si>
  <si>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</si>
  <si>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</si>
  <si>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</si>
  <si>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</si>
  <si>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</si>
  <si>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</si>
  <si>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</si>
  <si>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</si>
  <si>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</si>
  <si>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</si>
  <si>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</si>
  <si>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</si>
  <si>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</si>
  <si>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</si>
  <si>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</si>
  <si>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</si>
  <si>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</si>
  <si>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</si>
  <si>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</si>
  <si>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</si>
  <si>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</si>
  <si>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</si>
  <si>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</si>
  <si>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</si>
  <si>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</si>
  <si>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</si>
  <si>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</si>
  <si>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</si>
  <si>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</si>
  <si>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</si>
  <si>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</si>
  <si>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</si>
  <si>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</si>
  <si>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</si>
  <si>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</si>
  <si>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</si>
  <si>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</si>
  <si>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</si>
  <si>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</si>
  <si>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</si>
  <si>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</si>
  <si>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</si>
  <si>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</si>
  <si>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</si>
  <si>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</si>
  <si>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</si>
  <si>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</si>
  <si>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</si>
  <si>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</si>
  <si>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</si>
  <si>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</si>
  <si>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</si>
  <si>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</si>
  <si>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</si>
  <si>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</si>
  <si>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</si>
  <si>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</si>
  <si>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</si>
  <si>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</si>
  <si>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</si>
  <si>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</si>
  <si>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</si>
  <si>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</si>
  <si>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</si>
  <si>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</si>
  <si>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</si>
  <si>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</si>
  <si>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</si>
  <si>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</si>
  <si>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</si>
  <si>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</si>
  <si>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</si>
  <si>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</si>
  <si>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</si>
  <si>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</si>
  <si>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</si>
  <si>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</si>
  <si>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</si>
  <si>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</si>
  <si>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</si>
  <si>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</si>
  <si>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</si>
  <si>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</si>
  <si>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</si>
  <si>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</si>
  <si>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</si>
  <si>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</si>
  <si>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</si>
  <si>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</si>
  <si>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</si>
  <si>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</si>
  <si>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</si>
  <si>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</si>
  <si>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</si>
  <si>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</si>
  <si>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</si>
  <si>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</si>
  <si>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</si>
  <si>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</si>
  <si>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</si>
  <si>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</si>
  <si>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</si>
  <si>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</si>
  <si>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</si>
  <si>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</si>
  <si>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</si>
  <si>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</si>
  <si>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</si>
  <si>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</si>
  <si>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</si>
  <si>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</si>
  <si>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</si>
  <si>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</si>
  <si>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</si>
  <si>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</si>
  <si>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</si>
  <si>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</si>
  <si>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</si>
  <si>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</si>
  <si>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</si>
  <si>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</si>
  <si>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</si>
  <si>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</si>
  <si>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</si>
  <si>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</si>
  <si>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</si>
  <si>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</si>
  <si>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</si>
  <si>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</si>
  <si>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</si>
  <si>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</si>
  <si>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</si>
  <si>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</si>
  <si>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</si>
  <si>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</si>
  <si>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</si>
  <si>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</si>
  <si>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</si>
  <si>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</si>
  <si>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</si>
  <si>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</si>
  <si>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</si>
  <si>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</si>
  <si>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</si>
  <si>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</si>
  <si>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</si>
  <si>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</si>
  <si>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</si>
  <si>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</si>
  <si>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</si>
  <si>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</si>
  <si>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</si>
  <si>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</si>
  <si>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</si>
  <si>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</si>
  <si>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</si>
  <si>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</si>
  <si>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</si>
  <si>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</si>
  <si>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</si>
  <si>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</si>
  <si>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</si>
  <si>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</si>
  <si>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</si>
  <si>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</si>
  <si>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</si>
  <si>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</si>
  <si>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</si>
  <si>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</si>
  <si>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</si>
  <si>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</si>
  <si>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</si>
  <si>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</si>
  <si>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</si>
  <si>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</si>
  <si>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</si>
  <si>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</si>
  <si>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</si>
  <si>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</si>
  <si>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</si>
  <si>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</si>
  <si>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</si>
  <si>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</si>
  <si>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</si>
  <si>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</si>
  <si>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</si>
  <si>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</si>
  <si>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</si>
  <si>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</si>
  <si>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</si>
  <si>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</si>
  <si>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</si>
  <si>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</si>
  <si>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</si>
  <si>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</si>
  <si>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</si>
  <si>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</si>
  <si>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</si>
  <si>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</si>
  <si>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</si>
  <si>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</si>
  <si>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</si>
  <si>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</si>
  <si>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</si>
  <si>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</si>
  <si>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</si>
  <si>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</si>
  <si>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</si>
  <si>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</si>
  <si>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</si>
  <si>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</si>
  <si>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</si>
  <si>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</si>
  <si>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</si>
  <si>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</si>
  <si>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</si>
  <si>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</si>
  <si>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</si>
  <si>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</si>
  <si>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</si>
  <si>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</si>
  <si>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</si>
  <si>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</si>
  <si>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</si>
  <si>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</si>
  <si>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</si>
  <si>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</si>
  <si>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</si>
  <si>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</si>
  <si>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</si>
  <si>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</si>
  <si>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</si>
  <si>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</si>
  <si>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</si>
  <si>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</si>
  <si>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</si>
  <si>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</si>
  <si>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</si>
  <si>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</si>
  <si>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</si>
  <si>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</si>
  <si>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</si>
  <si>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</si>
  <si>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</si>
  <si>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</si>
  <si>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</si>
  <si>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</si>
  <si>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</si>
  <si>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</si>
  <si>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</si>
  <si>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</si>
  <si>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</si>
  <si>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</si>
  <si>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</si>
  <si>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</si>
  <si>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</si>
  <si>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</si>
  <si>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</si>
  <si>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</si>
  <si>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</si>
  <si>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</si>
  <si>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</si>
  <si>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</si>
  <si>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</si>
  <si>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</si>
  <si>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</si>
  <si>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</si>
  <si>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</si>
  <si>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</si>
  <si>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</si>
  <si>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</si>
  <si>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</si>
  <si>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</si>
  <si>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</si>
  <si>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</si>
  <si>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</si>
  <si>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</si>
  <si>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</si>
  <si>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</si>
  <si>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</si>
  <si>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</si>
  <si>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</si>
  <si>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</si>
  <si>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</si>
  <si>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</si>
  <si>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</si>
  <si>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</si>
  <si>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</si>
  <si>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</si>
  <si>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</si>
  <si>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</si>
  <si>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</si>
  <si>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</si>
  <si>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</si>
  <si>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</si>
  <si>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</si>
  <si>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</si>
  <si>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</si>
  <si>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</si>
  <si>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</si>
  <si>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</si>
  <si>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</si>
  <si>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</si>
  <si>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</si>
  <si>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</si>
  <si>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</si>
  <si>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</si>
  <si>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</si>
  <si>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</si>
  <si>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</si>
  <si>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</si>
  <si>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</si>
  <si>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</si>
  <si>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</si>
  <si>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</si>
  <si>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</si>
  <si>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</si>
  <si>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</si>
  <si>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</si>
  <si>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</si>
  <si>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</si>
  <si>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</si>
  <si>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</si>
  <si>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</si>
  <si>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</si>
  <si>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</si>
  <si>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</si>
  <si>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</si>
  <si>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</si>
  <si>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</si>
  <si>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</si>
  <si>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</si>
  <si>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</si>
  <si>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</si>
  <si>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</si>
  <si>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</si>
  <si>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</si>
  <si>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</si>
  <si>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</si>
  <si>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</si>
  <si>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</si>
  <si>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</si>
  <si>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</si>
  <si>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</si>
  <si>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</si>
  <si>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</si>
  <si>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</si>
  <si>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</si>
  <si>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</si>
  <si>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</si>
  <si>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</si>
  <si>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</si>
  <si>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</si>
  <si>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</si>
  <si>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</si>
  <si>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</si>
  <si>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</si>
  <si>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</si>
  <si>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</si>
  <si>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</si>
  <si>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</si>
  <si>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</si>
  <si>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</si>
  <si>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</si>
  <si>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</si>
  <si>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</si>
  <si>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</si>
  <si>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</si>
  <si>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</si>
  <si>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</si>
  <si>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</si>
  <si>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</si>
  <si>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</si>
  <si>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</si>
  <si>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</si>
  <si>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</si>
  <si>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</si>
  <si>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</si>
  <si>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</si>
  <si>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</si>
  <si>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</si>
  <si>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</si>
  <si>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</si>
  <si>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</si>
  <si>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</si>
  <si>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</si>
  <si>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</si>
  <si>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</si>
  <si>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</si>
  <si>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</si>
  <si>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</si>
  <si>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</si>
  <si>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</si>
  <si>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</si>
  <si>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</si>
  <si>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</si>
  <si>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</si>
  <si>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</si>
  <si>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</si>
  <si>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</si>
  <si>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</si>
  <si>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</si>
  <si>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</si>
  <si>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</si>
  <si>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</si>
  <si>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</si>
  <si>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</si>
  <si>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</si>
  <si>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</si>
  <si>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</si>
  <si>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</si>
  <si>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</si>
  <si>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</si>
  <si>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</si>
  <si>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</si>
  <si>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</si>
  <si>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</si>
  <si>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</si>
  <si>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</si>
  <si>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</si>
  <si>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</si>
  <si>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</si>
  <si>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</si>
  <si>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</si>
  <si>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</si>
  <si>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</si>
  <si>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</si>
  <si>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</si>
  <si>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</si>
  <si>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</si>
  <si>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</si>
  <si>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</si>
  <si>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</si>
  <si>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</si>
  <si>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</si>
  <si>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</si>
  <si>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</si>
  <si>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</si>
  <si>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</si>
  <si>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</si>
  <si>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</si>
  <si>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</si>
  <si>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</si>
  <si>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</si>
  <si>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</si>
  <si>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</si>
  <si>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</si>
  <si>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</si>
  <si>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</si>
  <si>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</si>
  <si>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</si>
  <si>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</si>
  <si>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</si>
  <si>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</si>
  <si>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</si>
  <si>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</si>
  <si>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</si>
  <si>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</si>
  <si>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</si>
  <si>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</si>
  <si>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</si>
  <si>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</si>
  <si>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</si>
  <si>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</si>
  <si>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</si>
  <si>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</si>
  <si>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</si>
  <si>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</si>
  <si>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</si>
  <si>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</si>
  <si>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</si>
  <si>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</si>
  <si>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</si>
  <si>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</si>
  <si>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</si>
  <si>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</si>
  <si>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</si>
  <si>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</si>
  <si>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</si>
  <si>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</si>
  <si>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</si>
  <si>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</si>
  <si>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</si>
  <si>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</si>
  <si>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</si>
  <si>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</si>
  <si>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</si>
  <si>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</si>
  <si>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</si>
  <si>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</si>
  <si>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</si>
  <si>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</si>
  <si>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</si>
  <si>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</si>
  <si>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</si>
  <si>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</si>
  <si>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</si>
  <si>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</si>
  <si>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</si>
  <si>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</si>
  <si>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</si>
  <si>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</si>
  <si>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</si>
  <si>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</si>
  <si>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</si>
  <si>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</si>
  <si>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</si>
  <si>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</si>
  <si>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</si>
  <si>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</si>
  <si>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23050</t>
  </si>
  <si>
    <t>MEISE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</si>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</sst>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23050</v>
      </c>
      <c r="B6" s="386"/>
      <c r="C6" s="387"/>
    </row>
    <row r="7" spans="1:7" s="384" customFormat="1" ht="15.75" customHeight="1">
      <c r="A7" s="388" t="str">
        <f>txtMunicipality</f>
        <v>MEISE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17641.427480410439</v>
      </c>
      <c r="D10" s="676">
        <f ca="1">tertiair!C16</f>
        <v>0</v>
      </c>
      <c r="E10" s="676">
        <f ca="1">tertiair!D16</f>
        <v>29001.347705513352</v>
      </c>
      <c r="F10" s="676">
        <f>tertiair!E16</f>
        <v>155.29400258026197</v>
      </c>
      <c r="G10" s="676">
        <f ca="1">tertiair!F16</f>
        <v>3101.6637907915438</v>
      </c>
      <c r="H10" s="676">
        <f>tertiair!G16</f>
        <v>0</v>
      </c>
      <c r="I10" s="676">
        <f>tertiair!H16</f>
        <v>0</v>
      </c>
      <c r="J10" s="676">
        <f>tertiair!I16</f>
        <v>0</v>
      </c>
      <c r="K10" s="676">
        <f>tertiair!J16</f>
        <v>0</v>
      </c>
      <c r="L10" s="676">
        <f>tertiair!K16</f>
        <v>0</v>
      </c>
      <c r="M10" s="676">
        <f ca="1">tertiair!L16</f>
        <v>0</v>
      </c>
      <c r="N10" s="676">
        <f>tertiair!M16</f>
        <v>0</v>
      </c>
      <c r="O10" s="676">
        <f ca="1">tertiair!N16</f>
        <v>1756.162845926571</v>
      </c>
      <c r="P10" s="676">
        <f>tertiair!O16</f>
        <v>0</v>
      </c>
      <c r="Q10" s="677">
        <f>tertiair!P16</f>
        <v>19.066666666666666</v>
      </c>
      <c r="R10" s="679">
        <f ca="1">SUM(C10:Q10)</f>
        <v>51674.962491888829</v>
      </c>
      <c r="S10" s="68"/>
    </row>
    <row r="11" spans="1:19" s="445" customFormat="1">
      <c r="A11" s="791" t="s">
        <v>220</v>
      </c>
      <c r="B11" s="796"/>
      <c r="C11" s="676">
        <f>huishoudens!B8</f>
        <v>37252.139867685488</v>
      </c>
      <c r="D11" s="676">
        <f>huishoudens!C8</f>
        <v>0</v>
      </c>
      <c r="E11" s="676">
        <f>huishoudens!D8</f>
        <v>85383.182986467349</v>
      </c>
      <c r="F11" s="676">
        <f>huishoudens!E8</f>
        <v>1590.1928551787369</v>
      </c>
      <c r="G11" s="676">
        <f>huishoudens!F8</f>
        <v>48480.363354064022</v>
      </c>
      <c r="H11" s="676">
        <f>huishoudens!G8</f>
        <v>0</v>
      </c>
      <c r="I11" s="676">
        <f>huishoudens!H8</f>
        <v>0</v>
      </c>
      <c r="J11" s="676">
        <f>huishoudens!I8</f>
        <v>0</v>
      </c>
      <c r="K11" s="676">
        <f>huishoudens!J8</f>
        <v>879.65930027885236</v>
      </c>
      <c r="L11" s="676">
        <f>huishoudens!K8</f>
        <v>0</v>
      </c>
      <c r="M11" s="676">
        <f>huishoudens!L8</f>
        <v>0</v>
      </c>
      <c r="N11" s="676">
        <f>huishoudens!M8</f>
        <v>0</v>
      </c>
      <c r="O11" s="676">
        <f>huishoudens!N8</f>
        <v>10500.994591819264</v>
      </c>
      <c r="P11" s="676">
        <f>huishoudens!O8</f>
        <v>93.8</v>
      </c>
      <c r="Q11" s="677">
        <f>huishoudens!P8</f>
        <v>419.4666666666667</v>
      </c>
      <c r="R11" s="679">
        <f>SUM(C11:Q11)</f>
        <v>184599.79962216038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6366.3277243098892</v>
      </c>
      <c r="D13" s="676">
        <f>industrie!C18</f>
        <v>0</v>
      </c>
      <c r="E13" s="676">
        <f>industrie!D18</f>
        <v>4475.8674843251829</v>
      </c>
      <c r="F13" s="676">
        <f>industrie!E18</f>
        <v>53.164246960116301</v>
      </c>
      <c r="G13" s="676">
        <f>industrie!F18</f>
        <v>2006.4648499715986</v>
      </c>
      <c r="H13" s="676">
        <f>industrie!G18</f>
        <v>0</v>
      </c>
      <c r="I13" s="676">
        <f>industrie!H18</f>
        <v>0</v>
      </c>
      <c r="J13" s="676">
        <f>industrie!I18</f>
        <v>0</v>
      </c>
      <c r="K13" s="676">
        <f>industrie!J18</f>
        <v>28.164885614458449</v>
      </c>
      <c r="L13" s="676">
        <f>industrie!K18</f>
        <v>0</v>
      </c>
      <c r="M13" s="676">
        <f>industrie!L18</f>
        <v>0</v>
      </c>
      <c r="N13" s="676">
        <f>industrie!M18</f>
        <v>0</v>
      </c>
      <c r="O13" s="676">
        <f>industrie!N18</f>
        <v>244.14639144689633</v>
      </c>
      <c r="P13" s="676">
        <f>industrie!O18</f>
        <v>0</v>
      </c>
      <c r="Q13" s="677">
        <f>industrie!P18</f>
        <v>0</v>
      </c>
      <c r="R13" s="679">
        <f>SUM(C13:Q13)</f>
        <v>13174.135582628141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61259.895072405809</v>
      </c>
      <c r="D16" s="709">
        <f t="shared" ref="D16:R16" ca="1" si="0">SUM(D9:D15)</f>
        <v>0</v>
      </c>
      <c r="E16" s="709">
        <f t="shared" ca="1" si="0"/>
        <v>118860.39817630588</v>
      </c>
      <c r="F16" s="709">
        <f t="shared" si="0"/>
        <v>1798.6511047191152</v>
      </c>
      <c r="G16" s="709">
        <f t="shared" ca="1" si="0"/>
        <v>53588.491994827164</v>
      </c>
      <c r="H16" s="709">
        <f t="shared" si="0"/>
        <v>0</v>
      </c>
      <c r="I16" s="709">
        <f t="shared" si="0"/>
        <v>0</v>
      </c>
      <c r="J16" s="709">
        <f t="shared" si="0"/>
        <v>0</v>
      </c>
      <c r="K16" s="709">
        <f t="shared" si="0"/>
        <v>907.82418589331076</v>
      </c>
      <c r="L16" s="709">
        <f t="shared" si="0"/>
        <v>0</v>
      </c>
      <c r="M16" s="709">
        <f t="shared" ca="1" si="0"/>
        <v>0</v>
      </c>
      <c r="N16" s="709">
        <f t="shared" si="0"/>
        <v>0</v>
      </c>
      <c r="O16" s="709">
        <f t="shared" ca="1" si="0"/>
        <v>12501.303829192731</v>
      </c>
      <c r="P16" s="709">
        <f t="shared" si="0"/>
        <v>93.8</v>
      </c>
      <c r="Q16" s="709">
        <f t="shared" si="0"/>
        <v>438.53333333333336</v>
      </c>
      <c r="R16" s="709">
        <f t="shared" ca="1" si="0"/>
        <v>249448.89769667736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24.311682671980957</v>
      </c>
      <c r="D19" s="676">
        <f>transport!C54</f>
        <v>0</v>
      </c>
      <c r="E19" s="676">
        <f>transport!D54</f>
        <v>0</v>
      </c>
      <c r="F19" s="676">
        <f>transport!E54</f>
        <v>0</v>
      </c>
      <c r="G19" s="676">
        <f>transport!F54</f>
        <v>0</v>
      </c>
      <c r="H19" s="676">
        <f>transport!G54</f>
        <v>4849.0130409977082</v>
      </c>
      <c r="I19" s="676">
        <f>transport!H54</f>
        <v>0</v>
      </c>
      <c r="J19" s="676">
        <f>transport!I54</f>
        <v>0</v>
      </c>
      <c r="K19" s="676">
        <f>transport!J54</f>
        <v>0</v>
      </c>
      <c r="L19" s="676">
        <f>transport!K54</f>
        <v>0</v>
      </c>
      <c r="M19" s="676">
        <f>transport!L54</f>
        <v>0</v>
      </c>
      <c r="N19" s="676">
        <f>transport!M54</f>
        <v>214.32121192330871</v>
      </c>
      <c r="O19" s="676">
        <f>transport!N54</f>
        <v>0</v>
      </c>
      <c r="P19" s="676">
        <f>transport!O54</f>
        <v>0</v>
      </c>
      <c r="Q19" s="677">
        <f>transport!P54</f>
        <v>0</v>
      </c>
      <c r="R19" s="679">
        <f>SUM(C19:Q19)</f>
        <v>5087.6459355929974</v>
      </c>
      <c r="S19" s="68"/>
    </row>
    <row r="20" spans="1:19" s="445" customFormat="1">
      <c r="A20" s="791" t="s">
        <v>302</v>
      </c>
      <c r="B20" s="796"/>
      <c r="C20" s="676">
        <f>transport!B14</f>
        <v>11.460135827073012</v>
      </c>
      <c r="D20" s="676">
        <f>transport!C14</f>
        <v>0</v>
      </c>
      <c r="E20" s="676">
        <f>transport!D14</f>
        <v>13.805124965868815</v>
      </c>
      <c r="F20" s="676">
        <f>transport!E14</f>
        <v>984.76273753676253</v>
      </c>
      <c r="G20" s="676">
        <f>transport!F14</f>
        <v>0</v>
      </c>
      <c r="H20" s="676">
        <f>transport!G14</f>
        <v>206600.72482287156</v>
      </c>
      <c r="I20" s="676">
        <f>transport!H14</f>
        <v>34193.481113340553</v>
      </c>
      <c r="J20" s="676">
        <f>transport!I14</f>
        <v>0</v>
      </c>
      <c r="K20" s="676">
        <f>transport!J14</f>
        <v>0</v>
      </c>
      <c r="L20" s="676">
        <f>transport!K14</f>
        <v>0</v>
      </c>
      <c r="M20" s="676">
        <f>transport!L14</f>
        <v>0</v>
      </c>
      <c r="N20" s="676">
        <f>transport!M14</f>
        <v>10759.081766374935</v>
      </c>
      <c r="O20" s="676">
        <f>transport!N14</f>
        <v>0</v>
      </c>
      <c r="P20" s="676">
        <f>transport!O14</f>
        <v>0</v>
      </c>
      <c r="Q20" s="677">
        <f>transport!P14</f>
        <v>0</v>
      </c>
      <c r="R20" s="679">
        <f>SUM(C20:Q20)</f>
        <v>252563.31570091675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35.771818499053971</v>
      </c>
      <c r="D22" s="794">
        <f t="shared" ref="D22:R22" si="1">SUM(D18:D21)</f>
        <v>0</v>
      </c>
      <c r="E22" s="794">
        <f t="shared" si="1"/>
        <v>13.805124965868815</v>
      </c>
      <c r="F22" s="794">
        <f t="shared" si="1"/>
        <v>984.76273753676253</v>
      </c>
      <c r="G22" s="794">
        <f t="shared" si="1"/>
        <v>0</v>
      </c>
      <c r="H22" s="794">
        <f t="shared" si="1"/>
        <v>211449.73786386926</v>
      </c>
      <c r="I22" s="794">
        <f t="shared" si="1"/>
        <v>34193.481113340553</v>
      </c>
      <c r="J22" s="794">
        <f t="shared" si="1"/>
        <v>0</v>
      </c>
      <c r="K22" s="794">
        <f t="shared" si="1"/>
        <v>0</v>
      </c>
      <c r="L22" s="794">
        <f t="shared" si="1"/>
        <v>0</v>
      </c>
      <c r="M22" s="794">
        <f t="shared" si="1"/>
        <v>0</v>
      </c>
      <c r="N22" s="794">
        <f t="shared" si="1"/>
        <v>10973.402978298243</v>
      </c>
      <c r="O22" s="794">
        <f t="shared" si="1"/>
        <v>0</v>
      </c>
      <c r="P22" s="794">
        <f t="shared" si="1"/>
        <v>0</v>
      </c>
      <c r="Q22" s="794">
        <f t="shared" si="1"/>
        <v>0</v>
      </c>
      <c r="R22" s="794">
        <f t="shared" si="1"/>
        <v>257650.96163650975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750.48032653655582</v>
      </c>
      <c r="D24" s="676">
        <f>+landbouw!C8</f>
        <v>0</v>
      </c>
      <c r="E24" s="676">
        <f>+landbouw!D8</f>
        <v>158.5062954122713</v>
      </c>
      <c r="F24" s="676">
        <f>+landbouw!E8</f>
        <v>7.0700275142877889</v>
      </c>
      <c r="G24" s="676">
        <f>+landbouw!F8</f>
        <v>2449.0663680356733</v>
      </c>
      <c r="H24" s="676">
        <f>+landbouw!G8</f>
        <v>0</v>
      </c>
      <c r="I24" s="676">
        <f>+landbouw!H8</f>
        <v>0</v>
      </c>
      <c r="J24" s="676">
        <f>+landbouw!I8</f>
        <v>0</v>
      </c>
      <c r="K24" s="676">
        <f>+landbouw!J8</f>
        <v>92.838066728179015</v>
      </c>
      <c r="L24" s="676">
        <f>+landbouw!K8</f>
        <v>0</v>
      </c>
      <c r="M24" s="676">
        <f>+landbouw!L8</f>
        <v>0</v>
      </c>
      <c r="N24" s="676">
        <f>+landbouw!M8</f>
        <v>0</v>
      </c>
      <c r="O24" s="676">
        <f>+landbouw!N8</f>
        <v>0</v>
      </c>
      <c r="P24" s="676">
        <f>+landbouw!O8</f>
        <v>0</v>
      </c>
      <c r="Q24" s="677">
        <f>+landbouw!P8</f>
        <v>0</v>
      </c>
      <c r="R24" s="679">
        <f>SUM(C24:Q24)</f>
        <v>3457.9610842269672</v>
      </c>
      <c r="S24" s="68"/>
    </row>
    <row r="25" spans="1:19" s="445" customFormat="1" ht="15" thickBot="1">
      <c r="A25" s="813" t="s">
        <v>879</v>
      </c>
      <c r="B25" s="979"/>
      <c r="C25" s="980">
        <f>IF(Onbekend_ele_kWh="---",0,Onbekend_ele_kWh)/1000+IF(REST_rest_ele_kWh="---",0,REST_rest_ele_kWh)/1000</f>
        <v>1081.01835935536</v>
      </c>
      <c r="D25" s="980"/>
      <c r="E25" s="980">
        <f>IF(onbekend_gas_kWh="---",0,onbekend_gas_kWh)/1000+IF(REST_rest_gas_kWh="---",0,REST_rest_gas_kWh)/1000</f>
        <v>3268.83791901121</v>
      </c>
      <c r="F25" s="980"/>
      <c r="G25" s="980"/>
      <c r="H25" s="980"/>
      <c r="I25" s="980"/>
      <c r="J25" s="980"/>
      <c r="K25" s="980"/>
      <c r="L25" s="980"/>
      <c r="M25" s="980"/>
      <c r="N25" s="980"/>
      <c r="O25" s="980"/>
      <c r="P25" s="980"/>
      <c r="Q25" s="981"/>
      <c r="R25" s="679">
        <f>SUM(C25:Q25)</f>
        <v>4349.8562783665702</v>
      </c>
      <c r="S25" s="68"/>
    </row>
    <row r="26" spans="1:19" s="445" customFormat="1" ht="15.75" thickBot="1">
      <c r="A26" s="682" t="s">
        <v>880</v>
      </c>
      <c r="B26" s="799"/>
      <c r="C26" s="794">
        <f>SUM(C24:C25)</f>
        <v>1831.4986858919158</v>
      </c>
      <c r="D26" s="794">
        <f t="shared" ref="D26:R26" si="2">SUM(D24:D25)</f>
        <v>0</v>
      </c>
      <c r="E26" s="794">
        <f t="shared" si="2"/>
        <v>3427.3442144234814</v>
      </c>
      <c r="F26" s="794">
        <f t="shared" si="2"/>
        <v>7.0700275142877889</v>
      </c>
      <c r="G26" s="794">
        <f t="shared" si="2"/>
        <v>2449.0663680356733</v>
      </c>
      <c r="H26" s="794">
        <f t="shared" si="2"/>
        <v>0</v>
      </c>
      <c r="I26" s="794">
        <f t="shared" si="2"/>
        <v>0</v>
      </c>
      <c r="J26" s="794">
        <f t="shared" si="2"/>
        <v>0</v>
      </c>
      <c r="K26" s="794">
        <f t="shared" si="2"/>
        <v>92.838066728179015</v>
      </c>
      <c r="L26" s="794">
        <f t="shared" si="2"/>
        <v>0</v>
      </c>
      <c r="M26" s="794">
        <f t="shared" si="2"/>
        <v>0</v>
      </c>
      <c r="N26" s="794">
        <f t="shared" si="2"/>
        <v>0</v>
      </c>
      <c r="O26" s="794">
        <f t="shared" si="2"/>
        <v>0</v>
      </c>
      <c r="P26" s="794">
        <f t="shared" si="2"/>
        <v>0</v>
      </c>
      <c r="Q26" s="794">
        <f t="shared" si="2"/>
        <v>0</v>
      </c>
      <c r="R26" s="794">
        <f t="shared" si="2"/>
        <v>7807.8173625935378</v>
      </c>
      <c r="S26" s="68"/>
    </row>
    <row r="27" spans="1:19" s="445" customFormat="1" ht="17.25" thickTop="1" thickBot="1">
      <c r="A27" s="683" t="s">
        <v>115</v>
      </c>
      <c r="B27" s="786"/>
      <c r="C27" s="684">
        <f ca="1">C22+C16+C26</f>
        <v>63127.165576796775</v>
      </c>
      <c r="D27" s="684">
        <f t="shared" ref="D27:R27" ca="1" si="3">D22+D16+D26</f>
        <v>0</v>
      </c>
      <c r="E27" s="684">
        <f t="shared" ca="1" si="3"/>
        <v>122301.54751569525</v>
      </c>
      <c r="F27" s="684">
        <f t="shared" si="3"/>
        <v>2790.4838697701653</v>
      </c>
      <c r="G27" s="684">
        <f t="shared" ca="1" si="3"/>
        <v>56037.558362862837</v>
      </c>
      <c r="H27" s="684">
        <f t="shared" si="3"/>
        <v>211449.73786386926</v>
      </c>
      <c r="I27" s="684">
        <f t="shared" si="3"/>
        <v>34193.481113340553</v>
      </c>
      <c r="J27" s="684">
        <f t="shared" si="3"/>
        <v>0</v>
      </c>
      <c r="K27" s="684">
        <f t="shared" si="3"/>
        <v>1000.6622526214898</v>
      </c>
      <c r="L27" s="684">
        <f t="shared" si="3"/>
        <v>0</v>
      </c>
      <c r="M27" s="684">
        <f t="shared" ca="1" si="3"/>
        <v>0</v>
      </c>
      <c r="N27" s="684">
        <f t="shared" si="3"/>
        <v>10973.402978298243</v>
      </c>
      <c r="O27" s="684">
        <f t="shared" ca="1" si="3"/>
        <v>12501.303829192731</v>
      </c>
      <c r="P27" s="684">
        <f t="shared" si="3"/>
        <v>93.8</v>
      </c>
      <c r="Q27" s="684">
        <f t="shared" si="3"/>
        <v>438.53333333333336</v>
      </c>
      <c r="R27" s="684">
        <f t="shared" ca="1" si="3"/>
        <v>514907.67669578065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3728.415030800641</v>
      </c>
      <c r="D40" s="676">
        <f ca="1">tertiair!C20</f>
        <v>0</v>
      </c>
      <c r="E40" s="676">
        <f ca="1">tertiair!D20</f>
        <v>5858.2722365136979</v>
      </c>
      <c r="F40" s="676">
        <f>tertiair!E20</f>
        <v>35.251738585719472</v>
      </c>
      <c r="G40" s="676">
        <f ca="1">tertiair!F20</f>
        <v>828.14423214134229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10450.083238041399</v>
      </c>
    </row>
    <row r="41" spans="1:18">
      <c r="A41" s="804" t="s">
        <v>220</v>
      </c>
      <c r="B41" s="811"/>
      <c r="C41" s="676">
        <f ca="1">huishoudens!B12</f>
        <v>7873.0271893470945</v>
      </c>
      <c r="D41" s="676">
        <f ca="1">huishoudens!C12</f>
        <v>0</v>
      </c>
      <c r="E41" s="676">
        <f>huishoudens!D12</f>
        <v>17247.402963266406</v>
      </c>
      <c r="F41" s="676">
        <f>huishoudens!E12</f>
        <v>360.97377812557329</v>
      </c>
      <c r="G41" s="676">
        <f>huishoudens!F12</f>
        <v>12944.257015535095</v>
      </c>
      <c r="H41" s="676">
        <f>huishoudens!G12</f>
        <v>0</v>
      </c>
      <c r="I41" s="676">
        <f>huishoudens!H12</f>
        <v>0</v>
      </c>
      <c r="J41" s="676">
        <f>huishoudens!I12</f>
        <v>0</v>
      </c>
      <c r="K41" s="676">
        <f>huishoudens!J12</f>
        <v>311.39939229871374</v>
      </c>
      <c r="L41" s="676">
        <f>huishoudens!K12</f>
        <v>0</v>
      </c>
      <c r="M41" s="676">
        <f>huishoudens!L12</f>
        <v>0</v>
      </c>
      <c r="N41" s="676">
        <f>huishoudens!M12</f>
        <v>0</v>
      </c>
      <c r="O41" s="676">
        <f>huishoudens!N12</f>
        <v>0</v>
      </c>
      <c r="P41" s="676">
        <f>huishoudens!O12</f>
        <v>0</v>
      </c>
      <c r="Q41" s="751">
        <f>huishoudens!P12</f>
        <v>0</v>
      </c>
      <c r="R41" s="832">
        <f t="shared" ca="1" si="4"/>
        <v>38737.060338572883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1345.487036390753</v>
      </c>
      <c r="D43" s="676">
        <f ca="1">industrie!C22</f>
        <v>0</v>
      </c>
      <c r="E43" s="676">
        <f>industrie!D22</f>
        <v>904.12523183368705</v>
      </c>
      <c r="F43" s="676">
        <f>industrie!E22</f>
        <v>12.0682840599464</v>
      </c>
      <c r="G43" s="676">
        <f>industrie!F22</f>
        <v>535.72611494241687</v>
      </c>
      <c r="H43" s="676">
        <f>industrie!G22</f>
        <v>0</v>
      </c>
      <c r="I43" s="676">
        <f>industrie!H22</f>
        <v>0</v>
      </c>
      <c r="J43" s="676">
        <f>industrie!I22</f>
        <v>0</v>
      </c>
      <c r="K43" s="676">
        <f>industrie!J22</f>
        <v>9.9703695075182903</v>
      </c>
      <c r="L43" s="676">
        <f>industrie!K22</f>
        <v>0</v>
      </c>
      <c r="M43" s="676">
        <f>industrie!L22</f>
        <v>0</v>
      </c>
      <c r="N43" s="676">
        <f>industrie!M22</f>
        <v>0</v>
      </c>
      <c r="O43" s="676">
        <f>industrie!N22</f>
        <v>0</v>
      </c>
      <c r="P43" s="676">
        <f>industrie!O22</f>
        <v>0</v>
      </c>
      <c r="Q43" s="751">
        <f>industrie!P22</f>
        <v>0</v>
      </c>
      <c r="R43" s="831">
        <f t="shared" ca="1" si="4"/>
        <v>2807.3770367343218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12946.929256538489</v>
      </c>
      <c r="D46" s="709">
        <f t="shared" ref="D46:Q46" ca="1" si="5">SUM(D39:D45)</f>
        <v>0</v>
      </c>
      <c r="E46" s="709">
        <f t="shared" ca="1" si="5"/>
        <v>24009.800431613792</v>
      </c>
      <c r="F46" s="709">
        <f t="shared" si="5"/>
        <v>408.29380077123915</v>
      </c>
      <c r="G46" s="709">
        <f t="shared" ca="1" si="5"/>
        <v>14308.127362618854</v>
      </c>
      <c r="H46" s="709">
        <f t="shared" si="5"/>
        <v>0</v>
      </c>
      <c r="I46" s="709">
        <f t="shared" si="5"/>
        <v>0</v>
      </c>
      <c r="J46" s="709">
        <f t="shared" si="5"/>
        <v>0</v>
      </c>
      <c r="K46" s="709">
        <f t="shared" si="5"/>
        <v>321.36976180623202</v>
      </c>
      <c r="L46" s="709">
        <f t="shared" si="5"/>
        <v>0</v>
      </c>
      <c r="M46" s="709">
        <f t="shared" ca="1" si="5"/>
        <v>0</v>
      </c>
      <c r="N46" s="709">
        <f t="shared" si="5"/>
        <v>0</v>
      </c>
      <c r="O46" s="709">
        <f t="shared" ca="1" si="5"/>
        <v>0</v>
      </c>
      <c r="P46" s="709">
        <f t="shared" si="5"/>
        <v>0</v>
      </c>
      <c r="Q46" s="709">
        <f t="shared" si="5"/>
        <v>0</v>
      </c>
      <c r="R46" s="709">
        <f ca="1">SUM(R39:R45)</f>
        <v>51994.520613348606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5.138135403097233</v>
      </c>
      <c r="D49" s="676">
        <f ca="1">transport!C58</f>
        <v>0</v>
      </c>
      <c r="E49" s="676">
        <f>transport!D58</f>
        <v>0</v>
      </c>
      <c r="F49" s="676">
        <f>transport!E58</f>
        <v>0</v>
      </c>
      <c r="G49" s="676">
        <f>transport!F58</f>
        <v>0</v>
      </c>
      <c r="H49" s="676">
        <f>transport!G58</f>
        <v>1294.6864819463881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1299.8246173494854</v>
      </c>
    </row>
    <row r="50" spans="1:18">
      <c r="A50" s="807" t="s">
        <v>302</v>
      </c>
      <c r="B50" s="817"/>
      <c r="C50" s="986">
        <f ca="1">transport!B18</f>
        <v>2.4220343121395671</v>
      </c>
      <c r="D50" s="986">
        <f>transport!C18</f>
        <v>0</v>
      </c>
      <c r="E50" s="986">
        <f>transport!D18</f>
        <v>2.7886352431055008</v>
      </c>
      <c r="F50" s="986">
        <f>transport!E18</f>
        <v>223.54114142084509</v>
      </c>
      <c r="G50" s="986">
        <f>transport!F18</f>
        <v>0</v>
      </c>
      <c r="H50" s="986">
        <f>transport!G18</f>
        <v>55162.393527706707</v>
      </c>
      <c r="I50" s="986">
        <f>transport!H18</f>
        <v>8514.1767972217967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63905.3221359046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7.5601697152367997</v>
      </c>
      <c r="D52" s="709">
        <f t="shared" ref="D52:Q52" ca="1" si="6">SUM(D48:D51)</f>
        <v>0</v>
      </c>
      <c r="E52" s="709">
        <f t="shared" si="6"/>
        <v>2.7886352431055008</v>
      </c>
      <c r="F52" s="709">
        <f t="shared" si="6"/>
        <v>223.54114142084509</v>
      </c>
      <c r="G52" s="709">
        <f t="shared" si="6"/>
        <v>0</v>
      </c>
      <c r="H52" s="709">
        <f t="shared" si="6"/>
        <v>56457.080009653095</v>
      </c>
      <c r="I52" s="709">
        <f t="shared" si="6"/>
        <v>8514.1767972217967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65205.146753254085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158.60973455159245</v>
      </c>
      <c r="D54" s="986">
        <f ca="1">+landbouw!C12</f>
        <v>0</v>
      </c>
      <c r="E54" s="986">
        <f>+landbouw!D12</f>
        <v>32.018271673278804</v>
      </c>
      <c r="F54" s="986">
        <f>+landbouw!E12</f>
        <v>1.6048962457433282</v>
      </c>
      <c r="G54" s="986">
        <f>+landbouw!F12</f>
        <v>653.9007202655248</v>
      </c>
      <c r="H54" s="986">
        <f>+landbouw!G12</f>
        <v>0</v>
      </c>
      <c r="I54" s="986">
        <f>+landbouw!H12</f>
        <v>0</v>
      </c>
      <c r="J54" s="986">
        <f>+landbouw!I12</f>
        <v>0</v>
      </c>
      <c r="K54" s="986">
        <f>+landbouw!J12</f>
        <v>32.864675621775369</v>
      </c>
      <c r="L54" s="986">
        <f>+landbouw!K12</f>
        <v>0</v>
      </c>
      <c r="M54" s="986">
        <f>+landbouw!L12</f>
        <v>0</v>
      </c>
      <c r="N54" s="986">
        <f>+landbouw!M12</f>
        <v>0</v>
      </c>
      <c r="O54" s="986">
        <f>+landbouw!N12</f>
        <v>0</v>
      </c>
      <c r="P54" s="986">
        <f>+landbouw!O12</f>
        <v>0</v>
      </c>
      <c r="Q54" s="987">
        <f>+landbouw!P12</f>
        <v>0</v>
      </c>
      <c r="R54" s="708">
        <f ca="1">SUM(C54:Q54)</f>
        <v>878.99829835791479</v>
      </c>
    </row>
    <row r="55" spans="1:18" ht="15" thickBot="1">
      <c r="A55" s="807" t="s">
        <v>879</v>
      </c>
      <c r="B55" s="817"/>
      <c r="C55" s="986">
        <f ca="1">C25*'EF ele_warmte'!B12</f>
        <v>228.4670616404224</v>
      </c>
      <c r="D55" s="986"/>
      <c r="E55" s="986">
        <f>E25*EF_CO2_aardgas</f>
        <v>660.30525964026447</v>
      </c>
      <c r="F55" s="986"/>
      <c r="G55" s="986"/>
      <c r="H55" s="986"/>
      <c r="I55" s="986"/>
      <c r="J55" s="986"/>
      <c r="K55" s="986"/>
      <c r="L55" s="986"/>
      <c r="M55" s="986"/>
      <c r="N55" s="986"/>
      <c r="O55" s="986"/>
      <c r="P55" s="986"/>
      <c r="Q55" s="987"/>
      <c r="R55" s="708">
        <f ca="1">SUM(C55:Q55)</f>
        <v>888.77232128068681</v>
      </c>
    </row>
    <row r="56" spans="1:18" ht="15.75" thickBot="1">
      <c r="A56" s="805" t="s">
        <v>880</v>
      </c>
      <c r="B56" s="818"/>
      <c r="C56" s="709">
        <f ca="1">SUM(C54:C55)</f>
        <v>387.07679619201485</v>
      </c>
      <c r="D56" s="709">
        <f t="shared" ref="D56:Q56" ca="1" si="7">SUM(D54:D55)</f>
        <v>0</v>
      </c>
      <c r="E56" s="709">
        <f t="shared" si="7"/>
        <v>692.3235313135433</v>
      </c>
      <c r="F56" s="709">
        <f t="shared" si="7"/>
        <v>1.6048962457433282</v>
      </c>
      <c r="G56" s="709">
        <f t="shared" si="7"/>
        <v>653.9007202655248</v>
      </c>
      <c r="H56" s="709">
        <f t="shared" si="7"/>
        <v>0</v>
      </c>
      <c r="I56" s="709">
        <f t="shared" si="7"/>
        <v>0</v>
      </c>
      <c r="J56" s="709">
        <f t="shared" si="7"/>
        <v>0</v>
      </c>
      <c r="K56" s="709">
        <f t="shared" si="7"/>
        <v>32.864675621775369</v>
      </c>
      <c r="L56" s="709">
        <f t="shared" si="7"/>
        <v>0</v>
      </c>
      <c r="M56" s="709">
        <f t="shared" si="7"/>
        <v>0</v>
      </c>
      <c r="N56" s="709">
        <f t="shared" si="7"/>
        <v>0</v>
      </c>
      <c r="O56" s="709">
        <f t="shared" si="7"/>
        <v>0</v>
      </c>
      <c r="P56" s="709">
        <f t="shared" si="7"/>
        <v>0</v>
      </c>
      <c r="Q56" s="710">
        <f t="shared" si="7"/>
        <v>0</v>
      </c>
      <c r="R56" s="711">
        <f ca="1">SUM(R54:R55)</f>
        <v>1767.7706196386016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13341.566222445741</v>
      </c>
      <c r="D61" s="717">
        <f t="shared" ref="D61:Q61" ca="1" si="8">D46+D52+D56</f>
        <v>0</v>
      </c>
      <c r="E61" s="717">
        <f t="shared" ca="1" si="8"/>
        <v>24704.912598170442</v>
      </c>
      <c r="F61" s="717">
        <f t="shared" si="8"/>
        <v>633.43983843782758</v>
      </c>
      <c r="G61" s="717">
        <f t="shared" ca="1" si="8"/>
        <v>14962.028082884379</v>
      </c>
      <c r="H61" s="717">
        <f t="shared" si="8"/>
        <v>56457.080009653095</v>
      </c>
      <c r="I61" s="717">
        <f t="shared" si="8"/>
        <v>8514.1767972217967</v>
      </c>
      <c r="J61" s="717">
        <f t="shared" si="8"/>
        <v>0</v>
      </c>
      <c r="K61" s="717">
        <f t="shared" si="8"/>
        <v>354.23443742800737</v>
      </c>
      <c r="L61" s="717">
        <f t="shared" si="8"/>
        <v>0</v>
      </c>
      <c r="M61" s="717">
        <f t="shared" ca="1" si="8"/>
        <v>0</v>
      </c>
      <c r="N61" s="717">
        <f t="shared" si="8"/>
        <v>0</v>
      </c>
      <c r="O61" s="717">
        <f t="shared" ca="1" si="8"/>
        <v>0</v>
      </c>
      <c r="P61" s="717">
        <f t="shared" si="8"/>
        <v>0</v>
      </c>
      <c r="Q61" s="717">
        <f t="shared" si="8"/>
        <v>0</v>
      </c>
      <c r="R61" s="717">
        <f ca="1">R46+R52+R56</f>
        <v>118967.43798624129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0.21134429370530158</v>
      </c>
      <c r="D63" s="761">
        <f t="shared" ca="1" si="9"/>
        <v>0</v>
      </c>
      <c r="E63" s="988">
        <f t="shared" ca="1" si="9"/>
        <v>0.20200000000000001</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2758.0876471780593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2758.0876471780593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37252.139867685488</v>
      </c>
      <c r="C4" s="449">
        <f>huishoudens!C8</f>
        <v>0</v>
      </c>
      <c r="D4" s="449">
        <f>huishoudens!D8</f>
        <v>85383.182986467349</v>
      </c>
      <c r="E4" s="449">
        <f>huishoudens!E8</f>
        <v>1590.1928551787369</v>
      </c>
      <c r="F4" s="449">
        <f>huishoudens!F8</f>
        <v>48480.363354064022</v>
      </c>
      <c r="G4" s="449">
        <f>huishoudens!G8</f>
        <v>0</v>
      </c>
      <c r="H4" s="449">
        <f>huishoudens!H8</f>
        <v>0</v>
      </c>
      <c r="I4" s="449">
        <f>huishoudens!I8</f>
        <v>0</v>
      </c>
      <c r="J4" s="449">
        <f>huishoudens!J8</f>
        <v>879.65930027885236</v>
      </c>
      <c r="K4" s="449">
        <f>huishoudens!K8</f>
        <v>0</v>
      </c>
      <c r="L4" s="449">
        <f>huishoudens!L8</f>
        <v>0</v>
      </c>
      <c r="M4" s="449">
        <f>huishoudens!M8</f>
        <v>0</v>
      </c>
      <c r="N4" s="449">
        <f>huishoudens!N8</f>
        <v>10500.994591819264</v>
      </c>
      <c r="O4" s="449">
        <f>huishoudens!O8</f>
        <v>93.8</v>
      </c>
      <c r="P4" s="450">
        <f>huishoudens!P8</f>
        <v>419.4666666666667</v>
      </c>
      <c r="Q4" s="451">
        <f>SUM(B4:P4)</f>
        <v>184599.79962216038</v>
      </c>
    </row>
    <row r="5" spans="1:17">
      <c r="A5" s="448" t="s">
        <v>155</v>
      </c>
      <c r="B5" s="449">
        <f ca="1">tertiair!B16</f>
        <v>15390.161480410439</v>
      </c>
      <c r="C5" s="449">
        <f ca="1">tertiair!C16</f>
        <v>0</v>
      </c>
      <c r="D5" s="449">
        <f ca="1">tertiair!D16</f>
        <v>29001.347705513352</v>
      </c>
      <c r="E5" s="449">
        <f>tertiair!E16</f>
        <v>155.29400258026197</v>
      </c>
      <c r="F5" s="449">
        <f ca="1">tertiair!F16</f>
        <v>3101.6637907915438</v>
      </c>
      <c r="G5" s="449">
        <f>tertiair!G16</f>
        <v>0</v>
      </c>
      <c r="H5" s="449">
        <f>tertiair!H16</f>
        <v>0</v>
      </c>
      <c r="I5" s="449">
        <f>tertiair!I16</f>
        <v>0</v>
      </c>
      <c r="J5" s="449">
        <f>tertiair!J16</f>
        <v>0</v>
      </c>
      <c r="K5" s="449">
        <f>tertiair!K16</f>
        <v>0</v>
      </c>
      <c r="L5" s="449">
        <f ca="1">tertiair!L16</f>
        <v>0</v>
      </c>
      <c r="M5" s="449">
        <f>tertiair!M16</f>
        <v>0</v>
      </c>
      <c r="N5" s="449">
        <f ca="1">tertiair!N16</f>
        <v>1756.162845926571</v>
      </c>
      <c r="O5" s="449">
        <f>tertiair!O16</f>
        <v>0</v>
      </c>
      <c r="P5" s="450">
        <f>tertiair!P16</f>
        <v>19.066666666666666</v>
      </c>
      <c r="Q5" s="448">
        <f t="shared" ref="Q5:Q14" ca="1" si="0">SUM(B5:P5)</f>
        <v>49423.696491888826</v>
      </c>
    </row>
    <row r="6" spans="1:17">
      <c r="A6" s="448" t="s">
        <v>193</v>
      </c>
      <c r="B6" s="449">
        <f>'openbare verlichting'!B8</f>
        <v>2251.2660000000001</v>
      </c>
      <c r="C6" s="449"/>
      <c r="D6" s="449"/>
      <c r="E6" s="449"/>
      <c r="F6" s="449"/>
      <c r="G6" s="449"/>
      <c r="H6" s="449"/>
      <c r="I6" s="449"/>
      <c r="J6" s="449"/>
      <c r="K6" s="449"/>
      <c r="L6" s="449"/>
      <c r="M6" s="449"/>
      <c r="N6" s="449"/>
      <c r="O6" s="449"/>
      <c r="P6" s="450"/>
      <c r="Q6" s="448">
        <f t="shared" si="0"/>
        <v>2251.2660000000001</v>
      </c>
    </row>
    <row r="7" spans="1:17">
      <c r="A7" s="448" t="s">
        <v>111</v>
      </c>
      <c r="B7" s="449">
        <f>landbouw!B8</f>
        <v>750.48032653655582</v>
      </c>
      <c r="C7" s="449">
        <f>landbouw!C8</f>
        <v>0</v>
      </c>
      <c r="D7" s="449">
        <f>landbouw!D8</f>
        <v>158.5062954122713</v>
      </c>
      <c r="E7" s="449">
        <f>landbouw!E8</f>
        <v>7.0700275142877889</v>
      </c>
      <c r="F7" s="449">
        <f>landbouw!F8</f>
        <v>2449.0663680356733</v>
      </c>
      <c r="G7" s="449">
        <f>landbouw!G8</f>
        <v>0</v>
      </c>
      <c r="H7" s="449">
        <f>landbouw!H8</f>
        <v>0</v>
      </c>
      <c r="I7" s="449">
        <f>landbouw!I8</f>
        <v>0</v>
      </c>
      <c r="J7" s="449">
        <f>landbouw!J8</f>
        <v>92.838066728179015</v>
      </c>
      <c r="K7" s="449">
        <f>landbouw!K8</f>
        <v>0</v>
      </c>
      <c r="L7" s="449">
        <f>landbouw!L8</f>
        <v>0</v>
      </c>
      <c r="M7" s="449">
        <f>landbouw!M8</f>
        <v>0</v>
      </c>
      <c r="N7" s="449">
        <f>landbouw!N8</f>
        <v>0</v>
      </c>
      <c r="O7" s="449">
        <f>landbouw!O8</f>
        <v>0</v>
      </c>
      <c r="P7" s="450">
        <f>landbouw!P8</f>
        <v>0</v>
      </c>
      <c r="Q7" s="448">
        <f t="shared" si="0"/>
        <v>3457.9610842269672</v>
      </c>
    </row>
    <row r="8" spans="1:17">
      <c r="A8" s="448" t="s">
        <v>671</v>
      </c>
      <c r="B8" s="449">
        <f>industrie!B18</f>
        <v>6366.3277243098892</v>
      </c>
      <c r="C8" s="449">
        <f>industrie!C18</f>
        <v>0</v>
      </c>
      <c r="D8" s="449">
        <f>industrie!D18</f>
        <v>4475.8674843251829</v>
      </c>
      <c r="E8" s="449">
        <f>industrie!E18</f>
        <v>53.164246960116301</v>
      </c>
      <c r="F8" s="449">
        <f>industrie!F18</f>
        <v>2006.4648499715986</v>
      </c>
      <c r="G8" s="449">
        <f>industrie!G18</f>
        <v>0</v>
      </c>
      <c r="H8" s="449">
        <f>industrie!H18</f>
        <v>0</v>
      </c>
      <c r="I8" s="449">
        <f>industrie!I18</f>
        <v>0</v>
      </c>
      <c r="J8" s="449">
        <f>industrie!J18</f>
        <v>28.164885614458449</v>
      </c>
      <c r="K8" s="449">
        <f>industrie!K18</f>
        <v>0</v>
      </c>
      <c r="L8" s="449">
        <f>industrie!L18</f>
        <v>0</v>
      </c>
      <c r="M8" s="449">
        <f>industrie!M18</f>
        <v>0</v>
      </c>
      <c r="N8" s="449">
        <f>industrie!N18</f>
        <v>244.14639144689633</v>
      </c>
      <c r="O8" s="449">
        <f>industrie!O18</f>
        <v>0</v>
      </c>
      <c r="P8" s="450">
        <f>industrie!P18</f>
        <v>0</v>
      </c>
      <c r="Q8" s="448">
        <f t="shared" si="0"/>
        <v>13174.135582628141</v>
      </c>
    </row>
    <row r="9" spans="1:17" s="454" customFormat="1">
      <c r="A9" s="452" t="s">
        <v>568</v>
      </c>
      <c r="B9" s="453">
        <f>transport!B14</f>
        <v>11.460135827073012</v>
      </c>
      <c r="C9" s="453">
        <f>transport!C14</f>
        <v>0</v>
      </c>
      <c r="D9" s="453">
        <f>transport!D14</f>
        <v>13.805124965868815</v>
      </c>
      <c r="E9" s="453">
        <f>transport!E14</f>
        <v>984.76273753676253</v>
      </c>
      <c r="F9" s="453">
        <f>transport!F14</f>
        <v>0</v>
      </c>
      <c r="G9" s="453">
        <f>transport!G14</f>
        <v>206600.72482287156</v>
      </c>
      <c r="H9" s="453">
        <f>transport!H14</f>
        <v>34193.481113340553</v>
      </c>
      <c r="I9" s="453">
        <f>transport!I14</f>
        <v>0</v>
      </c>
      <c r="J9" s="453">
        <f>transport!J14</f>
        <v>0</v>
      </c>
      <c r="K9" s="453">
        <f>transport!K14</f>
        <v>0</v>
      </c>
      <c r="L9" s="453">
        <f>transport!L14</f>
        <v>0</v>
      </c>
      <c r="M9" s="453">
        <f>transport!M14</f>
        <v>10759.081766374935</v>
      </c>
      <c r="N9" s="453">
        <f>transport!N14</f>
        <v>0</v>
      </c>
      <c r="O9" s="453">
        <f>transport!O14</f>
        <v>0</v>
      </c>
      <c r="P9" s="453">
        <f>transport!P14</f>
        <v>0</v>
      </c>
      <c r="Q9" s="452">
        <f>SUM(B9:P9)</f>
        <v>252563.31570091675</v>
      </c>
    </row>
    <row r="10" spans="1:17">
      <c r="A10" s="448" t="s">
        <v>558</v>
      </c>
      <c r="B10" s="449">
        <f>transport!B54</f>
        <v>24.311682671980957</v>
      </c>
      <c r="C10" s="449">
        <f>transport!C54</f>
        <v>0</v>
      </c>
      <c r="D10" s="449">
        <f>transport!D54</f>
        <v>0</v>
      </c>
      <c r="E10" s="449">
        <f>transport!E54</f>
        <v>0</v>
      </c>
      <c r="F10" s="449">
        <f>transport!F54</f>
        <v>0</v>
      </c>
      <c r="G10" s="449">
        <f>transport!G54</f>
        <v>4849.0130409977082</v>
      </c>
      <c r="H10" s="449">
        <f>transport!H54</f>
        <v>0</v>
      </c>
      <c r="I10" s="449">
        <f>transport!I54</f>
        <v>0</v>
      </c>
      <c r="J10" s="449">
        <f>transport!J54</f>
        <v>0</v>
      </c>
      <c r="K10" s="449">
        <f>transport!K54</f>
        <v>0</v>
      </c>
      <c r="L10" s="449">
        <f>transport!L54</f>
        <v>0</v>
      </c>
      <c r="M10" s="449">
        <f>transport!M54</f>
        <v>214.32121192330871</v>
      </c>
      <c r="N10" s="449">
        <f>transport!N54</f>
        <v>0</v>
      </c>
      <c r="O10" s="449">
        <f>transport!O54</f>
        <v>0</v>
      </c>
      <c r="P10" s="450">
        <f>transport!P54</f>
        <v>0</v>
      </c>
      <c r="Q10" s="448">
        <f t="shared" si="0"/>
        <v>5087.6459355929974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1081.01835935536</v>
      </c>
      <c r="C14" s="456"/>
      <c r="D14" s="456">
        <f>'SEAP template'!E25</f>
        <v>3268.83791901121</v>
      </c>
      <c r="E14" s="456"/>
      <c r="F14" s="456"/>
      <c r="G14" s="456"/>
      <c r="H14" s="456"/>
      <c r="I14" s="456"/>
      <c r="J14" s="456"/>
      <c r="K14" s="456"/>
      <c r="L14" s="456"/>
      <c r="M14" s="456"/>
      <c r="N14" s="456"/>
      <c r="O14" s="456"/>
      <c r="P14" s="457"/>
      <c r="Q14" s="448">
        <f t="shared" si="0"/>
        <v>4349.8562783665702</v>
      </c>
    </row>
    <row r="15" spans="1:17" s="461" customFormat="1">
      <c r="A15" s="458" t="s">
        <v>562</v>
      </c>
      <c r="B15" s="459">
        <f ca="1">SUM(B4:B14)</f>
        <v>63127.165576796782</v>
      </c>
      <c r="C15" s="459">
        <f t="shared" ref="C15:Q15" ca="1" si="1">SUM(C4:C14)</f>
        <v>0</v>
      </c>
      <c r="D15" s="459">
        <f t="shared" ca="1" si="1"/>
        <v>122301.54751569525</v>
      </c>
      <c r="E15" s="459">
        <f t="shared" si="1"/>
        <v>2790.4838697701657</v>
      </c>
      <c r="F15" s="459">
        <f t="shared" ca="1" si="1"/>
        <v>56037.558362862837</v>
      </c>
      <c r="G15" s="459">
        <f t="shared" si="1"/>
        <v>211449.73786386926</v>
      </c>
      <c r="H15" s="459">
        <f t="shared" si="1"/>
        <v>34193.481113340553</v>
      </c>
      <c r="I15" s="459">
        <f t="shared" si="1"/>
        <v>0</v>
      </c>
      <c r="J15" s="459">
        <f t="shared" si="1"/>
        <v>1000.6622526214898</v>
      </c>
      <c r="K15" s="459">
        <f t="shared" si="1"/>
        <v>0</v>
      </c>
      <c r="L15" s="459">
        <f t="shared" ca="1" si="1"/>
        <v>0</v>
      </c>
      <c r="M15" s="459">
        <f t="shared" si="1"/>
        <v>10973.402978298243</v>
      </c>
      <c r="N15" s="459">
        <f t="shared" ca="1" si="1"/>
        <v>12501.303829192731</v>
      </c>
      <c r="O15" s="459">
        <f t="shared" si="1"/>
        <v>93.8</v>
      </c>
      <c r="P15" s="459">
        <f t="shared" si="1"/>
        <v>438.53333333333336</v>
      </c>
      <c r="Q15" s="459">
        <f t="shared" ca="1" si="1"/>
        <v>514907.67669578065</v>
      </c>
    </row>
    <row r="17" spans="1:17">
      <c r="A17" s="462" t="s">
        <v>563</v>
      </c>
      <c r="B17" s="766">
        <f ca="1">huishoudens!B10</f>
        <v>0.21134429370530153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7873.0271893470945</v>
      </c>
      <c r="C22" s="449">
        <f t="shared" ref="C22:C32" ca="1" si="3">C4*$C$17</f>
        <v>0</v>
      </c>
      <c r="D22" s="449">
        <f t="shared" ref="D22:D32" si="4">D4*$D$17</f>
        <v>17247.402963266406</v>
      </c>
      <c r="E22" s="449">
        <f t="shared" ref="E22:E32" si="5">E4*$E$17</f>
        <v>360.97377812557329</v>
      </c>
      <c r="F22" s="449">
        <f t="shared" ref="F22:F32" si="6">F4*$F$17</f>
        <v>12944.257015535095</v>
      </c>
      <c r="G22" s="449">
        <f t="shared" ref="G22:G32" si="7">G4*$G$17</f>
        <v>0</v>
      </c>
      <c r="H22" s="449">
        <f t="shared" ref="H22:H32" si="8">H4*$H$17</f>
        <v>0</v>
      </c>
      <c r="I22" s="449">
        <f t="shared" ref="I22:I32" si="9">I4*$I$17</f>
        <v>0</v>
      </c>
      <c r="J22" s="449">
        <f t="shared" ref="J22:J32" si="10">J4*$J$17</f>
        <v>311.39939229871374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38737.060338572883</v>
      </c>
    </row>
    <row r="23" spans="1:17">
      <c r="A23" s="448" t="s">
        <v>155</v>
      </c>
      <c r="B23" s="449">
        <f t="shared" ca="1" si="2"/>
        <v>3252.6228080878818</v>
      </c>
      <c r="C23" s="449">
        <f t="shared" ca="1" si="3"/>
        <v>0</v>
      </c>
      <c r="D23" s="449">
        <f t="shared" ca="1" si="4"/>
        <v>5858.2722365136979</v>
      </c>
      <c r="E23" s="449">
        <f t="shared" si="5"/>
        <v>35.251738585719472</v>
      </c>
      <c r="F23" s="449">
        <f t="shared" ca="1" si="6"/>
        <v>828.14423214134229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9974.2910153286412</v>
      </c>
    </row>
    <row r="24" spans="1:17">
      <c r="A24" s="448" t="s">
        <v>193</v>
      </c>
      <c r="B24" s="449">
        <f t="shared" ca="1" si="2"/>
        <v>475.79222271275938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475.79222271275938</v>
      </c>
    </row>
    <row r="25" spans="1:17">
      <c r="A25" s="448" t="s">
        <v>111</v>
      </c>
      <c r="B25" s="449">
        <f t="shared" ca="1" si="2"/>
        <v>158.60973455159245</v>
      </c>
      <c r="C25" s="449">
        <f t="shared" ca="1" si="3"/>
        <v>0</v>
      </c>
      <c r="D25" s="449">
        <f t="shared" si="4"/>
        <v>32.018271673278804</v>
      </c>
      <c r="E25" s="449">
        <f t="shared" si="5"/>
        <v>1.6048962457433282</v>
      </c>
      <c r="F25" s="449">
        <f t="shared" si="6"/>
        <v>653.9007202655248</v>
      </c>
      <c r="G25" s="449">
        <f t="shared" si="7"/>
        <v>0</v>
      </c>
      <c r="H25" s="449">
        <f t="shared" si="8"/>
        <v>0</v>
      </c>
      <c r="I25" s="449">
        <f t="shared" si="9"/>
        <v>0</v>
      </c>
      <c r="J25" s="449">
        <f t="shared" si="10"/>
        <v>32.864675621775369</v>
      </c>
      <c r="K25" s="449">
        <f t="shared" si="11"/>
        <v>0</v>
      </c>
      <c r="L25" s="449">
        <f t="shared" si="12"/>
        <v>0</v>
      </c>
      <c r="M25" s="449">
        <f t="shared" si="13"/>
        <v>0</v>
      </c>
      <c r="N25" s="449">
        <f t="shared" si="14"/>
        <v>0</v>
      </c>
      <c r="O25" s="449">
        <f t="shared" si="15"/>
        <v>0</v>
      </c>
      <c r="P25" s="450">
        <f t="shared" si="16"/>
        <v>0</v>
      </c>
      <c r="Q25" s="448">
        <f t="shared" ca="1" si="17"/>
        <v>878.99829835791479</v>
      </c>
    </row>
    <row r="26" spans="1:17">
      <c r="A26" s="448" t="s">
        <v>671</v>
      </c>
      <c r="B26" s="449">
        <f t="shared" ca="1" si="2"/>
        <v>1345.487036390753</v>
      </c>
      <c r="C26" s="449">
        <f t="shared" ca="1" si="3"/>
        <v>0</v>
      </c>
      <c r="D26" s="449">
        <f t="shared" si="4"/>
        <v>904.12523183368705</v>
      </c>
      <c r="E26" s="449">
        <f t="shared" si="5"/>
        <v>12.0682840599464</v>
      </c>
      <c r="F26" s="449">
        <f t="shared" si="6"/>
        <v>535.72611494241687</v>
      </c>
      <c r="G26" s="449">
        <f t="shared" si="7"/>
        <v>0</v>
      </c>
      <c r="H26" s="449">
        <f t="shared" si="8"/>
        <v>0</v>
      </c>
      <c r="I26" s="449">
        <f t="shared" si="9"/>
        <v>0</v>
      </c>
      <c r="J26" s="449">
        <f t="shared" si="10"/>
        <v>9.9703695075182903</v>
      </c>
      <c r="K26" s="449">
        <f t="shared" si="11"/>
        <v>0</v>
      </c>
      <c r="L26" s="449">
        <f t="shared" si="12"/>
        <v>0</v>
      </c>
      <c r="M26" s="449">
        <f t="shared" si="13"/>
        <v>0</v>
      </c>
      <c r="N26" s="449">
        <f t="shared" si="14"/>
        <v>0</v>
      </c>
      <c r="O26" s="449">
        <f t="shared" si="15"/>
        <v>0</v>
      </c>
      <c r="P26" s="450">
        <f t="shared" si="16"/>
        <v>0</v>
      </c>
      <c r="Q26" s="448">
        <f t="shared" ca="1" si="17"/>
        <v>2807.3770367343218</v>
      </c>
    </row>
    <row r="27" spans="1:17" s="454" customFormat="1">
      <c r="A27" s="452" t="s">
        <v>568</v>
      </c>
      <c r="B27" s="760">
        <f t="shared" ca="1" si="2"/>
        <v>2.4220343121395671</v>
      </c>
      <c r="C27" s="453">
        <f t="shared" ca="1" si="3"/>
        <v>0</v>
      </c>
      <c r="D27" s="453">
        <f t="shared" si="4"/>
        <v>2.7886352431055008</v>
      </c>
      <c r="E27" s="453">
        <f t="shared" si="5"/>
        <v>223.54114142084509</v>
      </c>
      <c r="F27" s="453">
        <f t="shared" si="6"/>
        <v>0</v>
      </c>
      <c r="G27" s="453">
        <f t="shared" si="7"/>
        <v>55162.393527706707</v>
      </c>
      <c r="H27" s="453">
        <f t="shared" si="8"/>
        <v>8514.1767972217967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63905.3221359046</v>
      </c>
    </row>
    <row r="28" spans="1:17">
      <c r="A28" s="448" t="s">
        <v>558</v>
      </c>
      <c r="B28" s="449">
        <f t="shared" ca="1" si="2"/>
        <v>5.138135403097233</v>
      </c>
      <c r="C28" s="449">
        <f t="shared" ca="1" si="3"/>
        <v>0</v>
      </c>
      <c r="D28" s="449">
        <f t="shared" si="4"/>
        <v>0</v>
      </c>
      <c r="E28" s="449">
        <f t="shared" si="5"/>
        <v>0</v>
      </c>
      <c r="F28" s="449">
        <f t="shared" si="6"/>
        <v>0</v>
      </c>
      <c r="G28" s="449">
        <f t="shared" si="7"/>
        <v>1294.6864819463881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1299.8246173494854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228.4670616404224</v>
      </c>
      <c r="C32" s="449">
        <f t="shared" ca="1" si="3"/>
        <v>0</v>
      </c>
      <c r="D32" s="449">
        <f t="shared" si="4"/>
        <v>660.30525964026447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888.77232128068681</v>
      </c>
    </row>
    <row r="33" spans="1:17" s="461" customFormat="1">
      <c r="A33" s="458" t="s">
        <v>562</v>
      </c>
      <c r="B33" s="459">
        <f ca="1">SUM(B22:B32)</f>
        <v>13341.566222445739</v>
      </c>
      <c r="C33" s="459">
        <f t="shared" ref="C33:Q33" ca="1" si="18">SUM(C22:C32)</f>
        <v>0</v>
      </c>
      <c r="D33" s="459">
        <f t="shared" ca="1" si="18"/>
        <v>24704.912598170438</v>
      </c>
      <c r="E33" s="459">
        <f t="shared" si="18"/>
        <v>633.43983843782758</v>
      </c>
      <c r="F33" s="459">
        <f t="shared" ca="1" si="18"/>
        <v>14962.028082884379</v>
      </c>
      <c r="G33" s="459">
        <f t="shared" si="18"/>
        <v>56457.080009653095</v>
      </c>
      <c r="H33" s="459">
        <f t="shared" si="18"/>
        <v>8514.1767972217967</v>
      </c>
      <c r="I33" s="459">
        <f t="shared" si="18"/>
        <v>0</v>
      </c>
      <c r="J33" s="459">
        <f t="shared" si="18"/>
        <v>354.23443742800737</v>
      </c>
      <c r="K33" s="459">
        <f t="shared" si="18"/>
        <v>0</v>
      </c>
      <c r="L33" s="459">
        <f t="shared" ca="1" si="18"/>
        <v>0</v>
      </c>
      <c r="M33" s="459">
        <f t="shared" si="18"/>
        <v>0</v>
      </c>
      <c r="N33" s="459">
        <f t="shared" ca="1" si="18"/>
        <v>0</v>
      </c>
      <c r="O33" s="459">
        <f t="shared" si="18"/>
        <v>0</v>
      </c>
      <c r="P33" s="459">
        <f t="shared" si="18"/>
        <v>0</v>
      </c>
      <c r="Q33" s="459">
        <f t="shared" ca="1" si="18"/>
        <v>118967.43798624129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2758.0876471780593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2758.0876471780593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0.21134429370530153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0.21134429370530153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0.21134429370530153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0.21134429370530153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7285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1756</v>
      </c>
      <c r="C14" s="327"/>
      <c r="D14" s="327"/>
      <c r="E14" s="327"/>
      <c r="F14" s="327"/>
    </row>
    <row r="15" spans="1:6">
      <c r="A15" s="1295" t="s">
        <v>183</v>
      </c>
      <c r="B15" s="1296">
        <v>6</v>
      </c>
      <c r="C15" s="327"/>
      <c r="D15" s="327"/>
      <c r="E15" s="327"/>
      <c r="F15" s="327"/>
    </row>
    <row r="16" spans="1:6">
      <c r="A16" s="1295" t="s">
        <v>6</v>
      </c>
      <c r="B16" s="1296">
        <v>288</v>
      </c>
      <c r="C16" s="327"/>
      <c r="D16" s="327"/>
      <c r="E16" s="327"/>
      <c r="F16" s="327"/>
    </row>
    <row r="17" spans="1:6">
      <c r="A17" s="1295" t="s">
        <v>7</v>
      </c>
      <c r="B17" s="1296">
        <v>408</v>
      </c>
      <c r="C17" s="327"/>
      <c r="D17" s="327"/>
      <c r="E17" s="327"/>
      <c r="F17" s="327"/>
    </row>
    <row r="18" spans="1:6">
      <c r="A18" s="1295" t="s">
        <v>8</v>
      </c>
      <c r="B18" s="1296">
        <v>542</v>
      </c>
      <c r="C18" s="327"/>
      <c r="D18" s="327"/>
      <c r="E18" s="327"/>
      <c r="F18" s="327"/>
    </row>
    <row r="19" spans="1:6">
      <c r="A19" s="1295" t="s">
        <v>9</v>
      </c>
      <c r="B19" s="1296">
        <v>515</v>
      </c>
      <c r="C19" s="327"/>
      <c r="D19" s="327"/>
      <c r="E19" s="327"/>
      <c r="F19" s="327"/>
    </row>
    <row r="20" spans="1:6">
      <c r="A20" s="1295" t="s">
        <v>10</v>
      </c>
      <c r="B20" s="1296">
        <v>435</v>
      </c>
      <c r="C20" s="327"/>
      <c r="D20" s="327"/>
      <c r="E20" s="327"/>
      <c r="F20" s="327"/>
    </row>
    <row r="21" spans="1:6">
      <c r="A21" s="1295" t="s">
        <v>11</v>
      </c>
      <c r="B21" s="1296">
        <v>0</v>
      </c>
      <c r="C21" s="327"/>
      <c r="D21" s="327"/>
      <c r="E21" s="327"/>
      <c r="F21" s="327"/>
    </row>
    <row r="22" spans="1:6">
      <c r="A22" s="1295" t="s">
        <v>12</v>
      </c>
      <c r="B22" s="1296">
        <v>6</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441</v>
      </c>
      <c r="C26" s="327"/>
      <c r="D26" s="327"/>
      <c r="E26" s="327"/>
      <c r="F26" s="327"/>
    </row>
    <row r="27" spans="1:6">
      <c r="A27" s="1295" t="s">
        <v>17</v>
      </c>
      <c r="B27" s="1296">
        <v>0</v>
      </c>
      <c r="C27" s="327"/>
      <c r="D27" s="327"/>
      <c r="E27" s="327"/>
      <c r="F27" s="327"/>
    </row>
    <row r="28" spans="1:6" s="44" customFormat="1">
      <c r="A28" s="1297" t="s">
        <v>18</v>
      </c>
      <c r="B28" s="1298">
        <v>10</v>
      </c>
      <c r="C28" s="333"/>
      <c r="D28" s="333"/>
      <c r="E28" s="333"/>
      <c r="F28" s="333"/>
    </row>
    <row r="29" spans="1:6">
      <c r="A29" s="1297" t="s">
        <v>961</v>
      </c>
      <c r="B29" s="1298">
        <v>170</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6</v>
      </c>
      <c r="F38" s="1296">
        <v>20512.295316957901</v>
      </c>
    </row>
    <row r="39" spans="1:6">
      <c r="A39" s="1295" t="s">
        <v>29</v>
      </c>
      <c r="B39" s="1295" t="s">
        <v>30</v>
      </c>
      <c r="C39" s="1296">
        <v>4427</v>
      </c>
      <c r="D39" s="1296">
        <v>94659848.100296393</v>
      </c>
      <c r="E39" s="1296">
        <v>7258</v>
      </c>
      <c r="F39" s="1296">
        <v>35045850.573568799</v>
      </c>
    </row>
    <row r="40" spans="1:6">
      <c r="A40" s="1295" t="s">
        <v>29</v>
      </c>
      <c r="B40" s="1295" t="s">
        <v>28</v>
      </c>
      <c r="C40" s="1296">
        <v>0</v>
      </c>
      <c r="D40" s="1296">
        <v>0</v>
      </c>
      <c r="E40" s="1296">
        <v>0</v>
      </c>
      <c r="F40" s="1296">
        <v>0</v>
      </c>
    </row>
    <row r="41" spans="1:6">
      <c r="A41" s="1295" t="s">
        <v>31</v>
      </c>
      <c r="B41" s="1295" t="s">
        <v>32</v>
      </c>
      <c r="C41" s="1296">
        <v>16</v>
      </c>
      <c r="D41" s="1296">
        <v>481554.17196805403</v>
      </c>
      <c r="E41" s="1296">
        <v>56</v>
      </c>
      <c r="F41" s="1296">
        <v>1310424.1690636501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294445.14545464102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19</v>
      </c>
      <c r="D48" s="1296">
        <v>4250880.6730199</v>
      </c>
      <c r="E48" s="1296">
        <v>40</v>
      </c>
      <c r="F48" s="1296">
        <v>4615817.6413502898</v>
      </c>
    </row>
    <row r="49" spans="1:6">
      <c r="A49" s="1295" t="s">
        <v>31</v>
      </c>
      <c r="B49" s="1295" t="s">
        <v>39</v>
      </c>
      <c r="C49" s="1296">
        <v>0</v>
      </c>
      <c r="D49" s="1296">
        <v>0</v>
      </c>
      <c r="E49" s="1296">
        <v>0</v>
      </c>
      <c r="F49" s="1296">
        <v>0</v>
      </c>
    </row>
    <row r="50" spans="1:6">
      <c r="A50" s="1295" t="s">
        <v>31</v>
      </c>
      <c r="B50" s="1295" t="s">
        <v>40</v>
      </c>
      <c r="C50" s="1296">
        <v>3</v>
      </c>
      <c r="D50" s="1296">
        <v>229724.22854329</v>
      </c>
      <c r="E50" s="1296">
        <v>6</v>
      </c>
      <c r="F50" s="1296">
        <v>145640.76844130899</v>
      </c>
    </row>
    <row r="51" spans="1:6">
      <c r="A51" s="1295" t="s">
        <v>41</v>
      </c>
      <c r="B51" s="1295" t="s">
        <v>42</v>
      </c>
      <c r="C51" s="1296">
        <v>3</v>
      </c>
      <c r="D51" s="1296">
        <v>44455.124944112002</v>
      </c>
      <c r="E51" s="1296">
        <v>41</v>
      </c>
      <c r="F51" s="1296">
        <v>686388.21595699503</v>
      </c>
    </row>
    <row r="52" spans="1:6">
      <c r="A52" s="1295" t="s">
        <v>41</v>
      </c>
      <c r="B52" s="1295" t="s">
        <v>28</v>
      </c>
      <c r="C52" s="1296">
        <v>2</v>
      </c>
      <c r="D52" s="1296">
        <v>131272.47529122201</v>
      </c>
      <c r="E52" s="1296">
        <v>8</v>
      </c>
      <c r="F52" s="1296">
        <v>64092.110579560802</v>
      </c>
    </row>
    <row r="53" spans="1:6">
      <c r="A53" s="1295" t="s">
        <v>43</v>
      </c>
      <c r="B53" s="1295" t="s">
        <v>44</v>
      </c>
      <c r="C53" s="1296">
        <v>109</v>
      </c>
      <c r="D53" s="1296">
        <v>3268837.9190112101</v>
      </c>
      <c r="E53" s="1296">
        <v>200</v>
      </c>
      <c r="F53" s="1296">
        <v>1081018.35935536</v>
      </c>
    </row>
    <row r="54" spans="1:6">
      <c r="A54" s="1295" t="s">
        <v>45</v>
      </c>
      <c r="B54" s="1295" t="s">
        <v>46</v>
      </c>
      <c r="C54" s="1296">
        <v>0</v>
      </c>
      <c r="D54" s="1296">
        <v>0</v>
      </c>
      <c r="E54" s="1296">
        <v>1</v>
      </c>
      <c r="F54" s="1296">
        <v>2251266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60</v>
      </c>
      <c r="D57" s="1296">
        <v>4985064.3954835804</v>
      </c>
      <c r="E57" s="1296">
        <v>123</v>
      </c>
      <c r="F57" s="1296">
        <v>2708937.7769448399</v>
      </c>
    </row>
    <row r="58" spans="1:6">
      <c r="A58" s="1295" t="s">
        <v>48</v>
      </c>
      <c r="B58" s="1295" t="s">
        <v>50</v>
      </c>
      <c r="C58" s="1296">
        <v>13</v>
      </c>
      <c r="D58" s="1296">
        <v>567924.56363448198</v>
      </c>
      <c r="E58" s="1296">
        <v>34</v>
      </c>
      <c r="F58" s="1296">
        <v>389550.139655707</v>
      </c>
    </row>
    <row r="59" spans="1:6">
      <c r="A59" s="1295" t="s">
        <v>48</v>
      </c>
      <c r="B59" s="1295" t="s">
        <v>51</v>
      </c>
      <c r="C59" s="1296">
        <v>53</v>
      </c>
      <c r="D59" s="1296">
        <v>2039405.8023993201</v>
      </c>
      <c r="E59" s="1296">
        <v>145</v>
      </c>
      <c r="F59" s="1296">
        <v>3890402.2900875001</v>
      </c>
    </row>
    <row r="60" spans="1:6">
      <c r="A60" s="1295" t="s">
        <v>48</v>
      </c>
      <c r="B60" s="1295" t="s">
        <v>52</v>
      </c>
      <c r="C60" s="1296">
        <v>31</v>
      </c>
      <c r="D60" s="1296">
        <v>2507161.90622437</v>
      </c>
      <c r="E60" s="1296">
        <v>61</v>
      </c>
      <c r="F60" s="1296">
        <v>1591452.31764393</v>
      </c>
    </row>
    <row r="61" spans="1:6">
      <c r="A61" s="1295" t="s">
        <v>48</v>
      </c>
      <c r="B61" s="1295" t="s">
        <v>53</v>
      </c>
      <c r="C61" s="1296">
        <v>121</v>
      </c>
      <c r="D61" s="1296">
        <v>16248603.2649749</v>
      </c>
      <c r="E61" s="1296">
        <v>295</v>
      </c>
      <c r="F61" s="1296">
        <v>4209639.4282712303</v>
      </c>
    </row>
    <row r="62" spans="1:6">
      <c r="A62" s="1295" t="s">
        <v>48</v>
      </c>
      <c r="B62" s="1295" t="s">
        <v>54</v>
      </c>
      <c r="C62" s="1296">
        <v>0</v>
      </c>
      <c r="D62" s="1296">
        <v>0</v>
      </c>
      <c r="E62" s="1296">
        <v>3</v>
      </c>
      <c r="F62" s="1296">
        <v>20479.431410512399</v>
      </c>
    </row>
    <row r="63" spans="1:6">
      <c r="A63" s="1295" t="s">
        <v>48</v>
      </c>
      <c r="B63" s="1295" t="s">
        <v>28</v>
      </c>
      <c r="C63" s="1296">
        <v>142</v>
      </c>
      <c r="D63" s="1296">
        <v>5804110.2507793</v>
      </c>
      <c r="E63" s="1296">
        <v>159</v>
      </c>
      <c r="F63" s="1296">
        <v>2579700.09639672</v>
      </c>
    </row>
    <row r="64" spans="1:6">
      <c r="A64" s="1295" t="s">
        <v>55</v>
      </c>
      <c r="B64" s="1295" t="s">
        <v>56</v>
      </c>
      <c r="C64" s="1296">
        <v>0</v>
      </c>
      <c r="D64" s="1296">
        <v>0</v>
      </c>
      <c r="E64" s="1296">
        <v>0</v>
      </c>
      <c r="F64" s="1296">
        <v>0</v>
      </c>
    </row>
    <row r="65" spans="1:6">
      <c r="A65" s="1295" t="s">
        <v>55</v>
      </c>
      <c r="B65" s="1295" t="s">
        <v>28</v>
      </c>
      <c r="C65" s="1296">
        <v>4</v>
      </c>
      <c r="D65" s="1296">
        <v>119082.058842226</v>
      </c>
      <c r="E65" s="1296">
        <v>5</v>
      </c>
      <c r="F65" s="1296">
        <v>34262.124732288503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169611.54848636</v>
      </c>
      <c r="E68" s="1299">
        <v>16</v>
      </c>
      <c r="F68" s="1299">
        <v>194769.011181968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88646121</v>
      </c>
      <c r="E73" s="447"/>
      <c r="F73" s="327"/>
    </row>
    <row r="74" spans="1:6">
      <c r="A74" s="1295" t="s">
        <v>63</v>
      </c>
      <c r="B74" s="1295" t="s">
        <v>755</v>
      </c>
      <c r="C74" s="1309" t="s">
        <v>749</v>
      </c>
      <c r="D74" s="1310">
        <v>3696634.1427011043</v>
      </c>
      <c r="E74" s="447"/>
      <c r="F74" s="327"/>
    </row>
    <row r="75" spans="1:6">
      <c r="A75" s="1295" t="s">
        <v>64</v>
      </c>
      <c r="B75" s="1295" t="s">
        <v>754</v>
      </c>
      <c r="C75" s="1309" t="s">
        <v>750</v>
      </c>
      <c r="D75" s="1310">
        <v>39707728</v>
      </c>
      <c r="E75" s="447"/>
      <c r="F75" s="327"/>
    </row>
    <row r="76" spans="1:6">
      <c r="A76" s="1295" t="s">
        <v>64</v>
      </c>
      <c r="B76" s="1295" t="s">
        <v>755</v>
      </c>
      <c r="C76" s="1309" t="s">
        <v>751</v>
      </c>
      <c r="D76" s="1310">
        <v>1314895.1427011043</v>
      </c>
      <c r="E76" s="447"/>
      <c r="F76" s="327"/>
    </row>
    <row r="77" spans="1:6">
      <c r="A77" s="1295" t="s">
        <v>65</v>
      </c>
      <c r="B77" s="1295" t="s">
        <v>754</v>
      </c>
      <c r="C77" s="1309" t="s">
        <v>752</v>
      </c>
      <c r="D77" s="1310">
        <v>149522888</v>
      </c>
      <c r="E77" s="447"/>
      <c r="F77" s="327"/>
    </row>
    <row r="78" spans="1:6">
      <c r="A78" s="1290" t="s">
        <v>65</v>
      </c>
      <c r="B78" s="1290" t="s">
        <v>755</v>
      </c>
      <c r="C78" s="1290" t="s">
        <v>753</v>
      </c>
      <c r="D78" s="1311">
        <v>18132586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1339403.7145977914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2206.2892941166838</v>
      </c>
      <c r="C91" s="327"/>
      <c r="D91" s="327"/>
      <c r="E91" s="327"/>
      <c r="F91" s="327"/>
    </row>
    <row r="92" spans="1:6">
      <c r="A92" s="1290" t="s">
        <v>68</v>
      </c>
      <c r="B92" s="1291">
        <v>551.79835306137545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3173</v>
      </c>
      <c r="C97" s="327"/>
      <c r="D97" s="327"/>
      <c r="E97" s="327"/>
      <c r="F97" s="327"/>
    </row>
    <row r="98" spans="1:6">
      <c r="A98" s="1295" t="s">
        <v>71</v>
      </c>
      <c r="B98" s="1296">
        <v>1</v>
      </c>
      <c r="C98" s="327"/>
      <c r="D98" s="327"/>
      <c r="E98" s="327"/>
      <c r="F98" s="327"/>
    </row>
    <row r="99" spans="1:6">
      <c r="A99" s="1295" t="s">
        <v>72</v>
      </c>
      <c r="B99" s="1296">
        <v>41</v>
      </c>
      <c r="C99" s="327"/>
      <c r="D99" s="327"/>
      <c r="E99" s="327"/>
      <c r="F99" s="327"/>
    </row>
    <row r="100" spans="1:6">
      <c r="A100" s="1295" t="s">
        <v>73</v>
      </c>
      <c r="B100" s="1296">
        <v>622</v>
      </c>
      <c r="C100" s="327"/>
      <c r="D100" s="327"/>
      <c r="E100" s="327"/>
      <c r="F100" s="327"/>
    </row>
    <row r="101" spans="1:6">
      <c r="A101" s="1295" t="s">
        <v>74</v>
      </c>
      <c r="B101" s="1296">
        <v>47</v>
      </c>
      <c r="C101" s="327"/>
      <c r="D101" s="327"/>
      <c r="E101" s="327"/>
      <c r="F101" s="327"/>
    </row>
    <row r="102" spans="1:6">
      <c r="A102" s="1295" t="s">
        <v>75</v>
      </c>
      <c r="B102" s="1296">
        <v>97</v>
      </c>
      <c r="C102" s="327"/>
      <c r="D102" s="327"/>
      <c r="E102" s="327"/>
      <c r="F102" s="327"/>
    </row>
    <row r="103" spans="1:6">
      <c r="A103" s="1295" t="s">
        <v>76</v>
      </c>
      <c r="B103" s="1296">
        <v>88</v>
      </c>
      <c r="C103" s="327"/>
      <c r="D103" s="327"/>
      <c r="E103" s="327"/>
      <c r="F103" s="327"/>
    </row>
    <row r="104" spans="1:6">
      <c r="A104" s="1295" t="s">
        <v>77</v>
      </c>
      <c r="B104" s="1296">
        <v>2710</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54</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63127.165576796775</v>
      </c>
      <c r="C3" s="44" t="s">
        <v>169</v>
      </c>
      <c r="D3" s="44"/>
      <c r="E3" s="157"/>
      <c r="F3" s="44"/>
      <c r="G3" s="44"/>
      <c r="H3" s="44"/>
      <c r="I3" s="44"/>
      <c r="J3" s="44"/>
      <c r="K3" s="97"/>
    </row>
    <row r="4" spans="1:11">
      <c r="A4" s="354" t="s">
        <v>170</v>
      </c>
      <c r="B4" s="50">
        <f>IF(ISERROR('SEAP template'!B78+'SEAP template'!C78),0,'SEAP template'!B78+'SEAP template'!C78)</f>
        <v>2758.0876471780593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0.21134429370530153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2251.2660000000001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0.21134429370530153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475.79222271275938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B32*B41</f>
        <v>1590.1928551787369</v>
      </c>
      <c r="F5" s="18">
        <f>B36*B45</f>
        <v>48480.363354064022</v>
      </c>
      <c r="G5" s="19"/>
      <c r="H5" s="18"/>
      <c r="I5" s="18"/>
      <c r="J5" s="18">
        <f>B35*B44+C35*C44</f>
        <v>879.65930027885236</v>
      </c>
      <c r="K5" s="18"/>
      <c r="L5" s="18"/>
      <c r="M5" s="18"/>
      <c r="N5" s="18">
        <f>B34*B43+C34*C43</f>
        <v>10500.994591819264</v>
      </c>
      <c r="O5" s="18">
        <f>B52*B53*B54</f>
        <v>93.8</v>
      </c>
      <c r="P5" s="18">
        <f>B60*B61*B62/1000-B60*B61*B62/1000/B63</f>
        <v>419.4666666666667</v>
      </c>
    </row>
    <row r="6" spans="1:16">
      <c r="A6" s="17" t="s">
        <v>628</v>
      </c>
      <c r="B6" s="768">
        <f>kWh_PV_kleiner_dan_10kW</f>
        <v>2206.2892941166838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37252.139867685488</v>
      </c>
      <c r="C8" s="22">
        <f>C5</f>
        <v>0</v>
      </c>
      <c r="D8" s="22">
        <f>D5</f>
        <v>85383.182986467349</v>
      </c>
      <c r="E8" s="22">
        <f>E5</f>
        <v>1590.1928551787369</v>
      </c>
      <c r="F8" s="22">
        <f>F5</f>
        <v>48480.363354064022</v>
      </c>
      <c r="G8" s="22"/>
      <c r="H8" s="22"/>
      <c r="I8" s="22"/>
      <c r="J8" s="22">
        <f>J5</f>
        <v>879.65930027885236</v>
      </c>
      <c r="K8" s="22"/>
      <c r="L8" s="22">
        <f>L5</f>
        <v>0</v>
      </c>
      <c r="M8" s="22">
        <f>M5</f>
        <v>0</v>
      </c>
      <c r="N8" s="22">
        <f>N5</f>
        <v>10500.994591819264</v>
      </c>
      <c r="O8" s="22">
        <f>O5</f>
        <v>93.8</v>
      </c>
      <c r="P8" s="22">
        <f>P5</f>
        <v>419.4666666666667</v>
      </c>
    </row>
    <row r="9" spans="1:16">
      <c r="B9" s="20"/>
      <c r="C9" s="20"/>
      <c r="D9" s="258"/>
      <c r="E9" s="20"/>
      <c r="F9" s="20"/>
      <c r="G9" s="20"/>
      <c r="H9" s="20"/>
      <c r="I9" s="20"/>
      <c r="J9" s="20"/>
      <c r="K9" s="20"/>
      <c r="L9" s="20"/>
      <c r="M9" s="20"/>
      <c r="N9" s="20"/>
      <c r="O9" s="20"/>
      <c r="P9" s="20"/>
    </row>
    <row r="10" spans="1:16">
      <c r="A10" s="25" t="s">
        <v>213</v>
      </c>
      <c r="B10" s="26">
        <f ca="1">'EF ele_warmte'!B12</f>
        <v>0.21134429370530153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7873.0271893470945</v>
      </c>
      <c r="C12" s="24">
        <f ca="1">C10*C8</f>
        <v>0</v>
      </c>
      <c r="D12" s="24">
        <f>D8*D10</f>
        <v>17247.402963266406</v>
      </c>
      <c r="E12" s="24">
        <f>E10*E8</f>
        <v>360.97377812557329</v>
      </c>
      <c r="F12" s="24">
        <f>F10*F8</f>
        <v>12944.257015535095</v>
      </c>
      <c r="G12" s="24"/>
      <c r="H12" s="24"/>
      <c r="I12" s="24"/>
      <c r="J12" s="24">
        <f>J10*J8</f>
        <v>311.39939229871374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7285</v>
      </c>
      <c r="C26" s="37"/>
      <c r="D26" s="228"/>
    </row>
    <row r="27" spans="1:5" s="16" customFormat="1">
      <c r="A27" s="230" t="s">
        <v>654</v>
      </c>
      <c r="B27" s="38">
        <f>SUM(HH_hh_gas_aantal,HH_rest_gas_aantal)</f>
        <v>4427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4205.6499999999996</v>
      </c>
      <c r="C31" s="35" t="s">
        <v>110</v>
      </c>
      <c r="D31" s="174"/>
    </row>
    <row r="32" spans="1:5">
      <c r="A32" s="171" t="s">
        <v>72</v>
      </c>
      <c r="B32" s="34">
        <f>IF((B21*($B$26-($B$27-0.05*$B$27)-$B$60))&lt;0,0,B21*($B$26-($B$27-0.05*$B$27)-$B$60))</f>
        <v>75.135386913202211</v>
      </c>
      <c r="C32" s="35" t="s">
        <v>110</v>
      </c>
      <c r="D32" s="174"/>
    </row>
    <row r="33" spans="1:6">
      <c r="A33" s="171" t="s">
        <v>73</v>
      </c>
      <c r="B33" s="34">
        <f>IF((B22*($B$26-($B$27-0.05*$B$27)-$B$60))&lt;0,0,B22*($B$26-($B$27-0.05*$B$27)-$B$60))</f>
        <v>505.74927567593431</v>
      </c>
      <c r="C33" s="35" t="s">
        <v>110</v>
      </c>
      <c r="D33" s="174"/>
    </row>
    <row r="34" spans="1:6">
      <c r="A34" s="171" t="s">
        <v>74</v>
      </c>
      <c r="B34" s="34">
        <f>IF((B24*($B$26-($B$27-0.05*$B$27)-$B$60))&lt;0,0,B24*($B$26-($B$27-0.05*$B$27)-$B$60))</f>
        <v>128.26867654022072</v>
      </c>
      <c r="C34" s="34">
        <f>B26*C24</f>
        <v>1489.7994570691915</v>
      </c>
      <c r="D34" s="233"/>
    </row>
    <row r="35" spans="1:6">
      <c r="A35" s="171" t="s">
        <v>76</v>
      </c>
      <c r="B35" s="34">
        <f>IF((B19*($B$26-($B$27-0.05*$B$27)-$B$60))&lt;0,0,B19*($B$26-($B$27-0.05*$B$27)-$B$60))</f>
        <v>47.68623476003544</v>
      </c>
      <c r="C35" s="34">
        <f>B35/2</f>
        <v>23.84311738001772</v>
      </c>
      <c r="D35" s="233"/>
    </row>
    <row r="36" spans="1:6">
      <c r="A36" s="171" t="s">
        <v>77</v>
      </c>
      <c r="B36" s="34">
        <f>IF((B18*($B$26-($B$27-0.05*$B$27)-$B$60))&lt;0,0,B18*($B$26-($B$27-0.05*$B$27)-$B$60))</f>
        <v>2300.5104261106067</v>
      </c>
      <c r="C36" s="35" t="s">
        <v>110</v>
      </c>
      <c r="D36" s="174"/>
    </row>
    <row r="37" spans="1:6">
      <c r="A37" s="171" t="s">
        <v>78</v>
      </c>
      <c r="B37" s="34">
        <f>B60</f>
        <v>22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19.066666666666666</v>
      </c>
      <c r="R5" s="33"/>
    </row>
    <row r="6" spans="1:18">
      <c r="A6" s="33" t="s">
        <v>53</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52</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51</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50</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49</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54</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255</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0.21134429370530153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3252.6228080878818</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4209.6394282712299</v>
      </c>
      <c r="C26" s="40">
        <f>IF(ISERROR(B26*3.6/1000000/'E Balans VL '!Z12*100),0,B26*3.6/1000000/'E Balans VL '!Z12*100)</f>
        <v>8.9451818987646842E-2</v>
      </c>
      <c r="D26" s="236" t="s">
        <v>691</v>
      </c>
      <c r="F26" s="6"/>
    </row>
    <row r="27" spans="1:18">
      <c r="A27" s="231" t="s">
        <v>52</v>
      </c>
      <c r="B27" s="34">
        <f>IF(ISERROR(TER_horeca_ele_kWh/1000),0,TER_horeca_ele_kWh/1000)</f>
        <v>1591.45231764393</v>
      </c>
      <c r="C27" s="40">
        <f>IF(ISERROR(B27*3.6/1000000/'E Balans VL '!Z9*100),0,B27*3.6/1000000/'E Balans VL '!Z9*100)</f>
        <v>0.12525960404597991</v>
      </c>
      <c r="D27" s="236" t="s">
        <v>691</v>
      </c>
      <c r="F27" s="6"/>
    </row>
    <row r="28" spans="1:18">
      <c r="A28" s="171" t="s">
        <v>51</v>
      </c>
      <c r="B28" s="34">
        <f>IF(ISERROR(TER_handel_ele_kWh/1000),0,TER_handel_ele_kWh/1000)</f>
        <v>3890.4022900875002</v>
      </c>
      <c r="C28" s="40">
        <f>IF(ISERROR(B28*3.6/1000000/'E Balans VL '!Z13*100),0,B28*3.6/1000000/'E Balans VL '!Z13*100)</f>
        <v>0.10897225020645737</v>
      </c>
      <c r="D28" s="236" t="s">
        <v>691</v>
      </c>
      <c r="F28" s="6"/>
    </row>
    <row r="29" spans="1:18">
      <c r="A29" s="231" t="s">
        <v>50</v>
      </c>
      <c r="B29" s="34">
        <f>IF(ISERROR(TER_gezond_ele_kWh/1000),0,TER_gezond_ele_kWh/1000)</f>
        <v>389.55013965570697</v>
      </c>
      <c r="C29" s="40">
        <f>IF(ISERROR(B29*3.6/1000000/'E Balans VL '!Z10*100),0,B29*3.6/1000000/'E Balans VL '!Z10*100)</f>
        <v>4.9835242383775034E-2</v>
      </c>
      <c r="D29" s="236" t="s">
        <v>691</v>
      </c>
      <c r="F29" s="6"/>
    </row>
    <row r="30" spans="1:18">
      <c r="A30" s="231" t="s">
        <v>49</v>
      </c>
      <c r="B30" s="34">
        <f>IF(ISERROR(TER_ander_ele_kWh/1000),0,TER_ander_ele_kWh/1000)</f>
        <v>2708.9377769448397</v>
      </c>
      <c r="C30" s="40">
        <f>IF(ISERROR(B30*3.6/1000000/'E Balans VL '!Z14*100),0,B30*3.6/1000000/'E Balans VL '!Z14*100)</f>
        <v>0.20260571980702194</v>
      </c>
      <c r="D30" s="236" t="s">
        <v>691</v>
      </c>
      <c r="F30" s="6"/>
    </row>
    <row r="31" spans="1:18">
      <c r="A31" s="231" t="s">
        <v>54</v>
      </c>
      <c r="B31" s="34">
        <f>IF(ISERROR(TER_onderwijs_ele_kWh/1000),0,TER_onderwijs_ele_kWh/1000)</f>
        <v>20.479431410512401</v>
      </c>
      <c r="C31" s="40">
        <f>IF(ISERROR(B31*3.6/1000000/'E Balans VL '!Z11*100),0,B31*3.6/1000000/'E Balans VL '!Z11*100)</f>
        <v>4.3242584699740051E-3</v>
      </c>
      <c r="D31" s="236" t="s">
        <v>691</v>
      </c>
    </row>
    <row r="32" spans="1:18">
      <c r="A32" s="231" t="s">
        <v>255</v>
      </c>
      <c r="B32" s="34">
        <f>IF(ISERROR(TER_rest_ele_kWh/1000),0,TER_rest_ele_kWh/1000)</f>
        <v>2579.7000963967203</v>
      </c>
      <c r="C32" s="40">
        <f>IF(ISERROR(B32*3.6/1000000/'E Balans VL '!Z8*100),0,B32*3.6/1000000/'E Balans VL '!Z8*100)</f>
        <v>2.1251394143324338E-2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32</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40</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0.21134429370530153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1345.487036390753</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294.44514545464102</v>
      </c>
      <c r="C30" s="40">
        <f>IF(ISERROR(B30*3.6/1000000/'E Balans VL '!Z18*100),0,B30*3.6/1000000/'E Balans VL '!Z18*100)</f>
        <v>1.6383903406756092E-2</v>
      </c>
      <c r="D30" s="236" t="s">
        <v>691</v>
      </c>
    </row>
    <row r="31" spans="1:18">
      <c r="A31" s="6" t="s">
        <v>32</v>
      </c>
      <c r="B31" s="38">
        <f>IF( ISERROR(IND_ander_ele_kWh/1000),0,IND_ander_ele_kWh/1000)</f>
        <v>1310.42416906365</v>
      </c>
      <c r="C31" s="40">
        <f>IF(ISERROR(B31*3.6/1000000/'E Balans VL '!Z19*100),0,B31*3.6/1000000/'E Balans VL '!Z19*100)</f>
        <v>6.0918178049214282E-2</v>
      </c>
      <c r="D31" s="236" t="s">
        <v>691</v>
      </c>
    </row>
    <row r="32" spans="1:18">
      <c r="A32" s="171" t="s">
        <v>40</v>
      </c>
      <c r="B32" s="38">
        <f>IF( ISERROR(IND_voed_ele_kWh/1000),0,IND_voed_ele_kWh/1000)</f>
        <v>145.64076844130898</v>
      </c>
      <c r="C32" s="40">
        <f>IF(ISERROR(B32*3.6/1000000/'E Balans VL '!Z20*100),0,B32*3.6/1000000/'E Balans VL '!Z20*100)</f>
        <v>5.1481070304117025E-3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4615.8176413502897</v>
      </c>
      <c r="C37" s="40">
        <f>IF(ISERROR(B37*3.6/1000000/'E Balans VL '!Z15*100),0,B37*3.6/1000000/'E Balans VL '!Z15*100)</f>
        <v>3.4856241785924398E-2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750.48032653655582</v>
      </c>
      <c r="C5" s="18">
        <f>'Eigen informatie GS &amp; warmtenet'!B60</f>
        <v>0</v>
      </c>
      <c r="D5" s="31">
        <f>IF(ISERROR(SUM(LB_lb_gas_kWh,LB_rest_gas_kWh)/1000),0,SUM(LB_lb_gas_kWh,LB_rest_gas_kWh)/1000)*0.902</f>
        <v>158.5062954122713</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750.48032653655582</v>
      </c>
      <c r="C8" s="22">
        <f>C5+C6</f>
        <v>0</v>
      </c>
      <c r="D8" s="22">
        <f>MAX((D5+D6),0)</f>
        <v>158.5062954122713</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0.21134429370530153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158.60973455159245</v>
      </c>
      <c r="C12" s="24">
        <f ca="1">C8*C10</f>
        <v>0</v>
      </c>
      <c r="D12" s="24">
        <f>D8*D10</f>
        <v>32.018271673278804</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0.10160304392078884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130.13966295986134</v>
      </c>
      <c r="C26" s="246">
        <f>B26*'GWP N2O_CH4'!B5</f>
        <v>2732.9329221570883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14.53109780876154</v>
      </c>
      <c r="C27" s="246">
        <f>B27*'GWP N2O_CH4'!B5</f>
        <v>305.15305398399232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46">
        <f>B28*'GWP N2O_CH4'!B4</f>
        <v>627.52673047183248</v>
      </c>
      <c r="D28" s="51"/>
    </row>
    <row r="29" spans="1:4">
      <c r="A29" s="42" t="s">
        <v>272</v>
      </c>
      <c r="B29" s="246">
        <f>B34*'ha_N2O bodem landbouw'!B4</f>
        <v>9.6849806838706609</v>
      </c>
      <c r="C29" s="246">
        <f>B29*'GWP N2O_CH4'!B4</f>
        <v>3002.344011999905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2.6146398988688259E-3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4.1256488977462849E-5</v>
      </c>
      <c r="C5" s="435" t="s">
        <v>210</v>
      </c>
      <c r="D5" s="420">
        <f>SUM(D6:D11)</f>
        <v>4.9698449877127736E-5</v>
      </c>
      <c r="E5" s="420">
        <f>SUM(E6:E11)</f>
        <v>3.5451458551323451E-3</v>
      </c>
      <c r="F5" s="433" t="s">
        <v>210</v>
      </c>
      <c r="G5" s="420">
        <f>SUM(G6:G11)</f>
        <v>0.74376260936233762</v>
      </c>
      <c r="H5" s="420">
        <f>SUM(H6:H11)</f>
        <v>0.12309653200802599</v>
      </c>
      <c r="I5" s="435" t="s">
        <v>210</v>
      </c>
      <c r="J5" s="435" t="s">
        <v>210</v>
      </c>
      <c r="K5" s="435" t="s">
        <v>210</v>
      </c>
      <c r="L5" s="435" t="s">
        <v>210</v>
      </c>
      <c r="M5" s="420">
        <f>SUM(M6:M11)</f>
        <v>3.8732694358949764E-2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1.2446209276948084E-5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1.4495869346841609E-5</v>
      </c>
      <c r="E6" s="423">
        <f>vkm_GW_PW*SUMIFS(TableVerdeelsleutelVkm[LPG],TableVerdeelsleutelVkm[Voertuigtype],"Lichte voertuigen")*SUMIFS(TableECFTransport[EnergieConsumptieFactor (PJ per km)],TableECFTransport[Index],CONCATENATE($A6,"_LPG_LPG"))</f>
        <v>9.4045475309580823E-4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0.14672862294285616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3.5361574914333657E-2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8.1485482126714675E-3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2.1638145601328147E-7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3.5794268114310301E-2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9.6048776410655149E-7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1.5927281635986785E-3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5.8209322554016616E-6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1.1072414730110897E-5</v>
      </c>
      <c r="E8" s="423">
        <f>vkm_NGW_PW*SUMIFS(TableVerdeelsleutelVkm[LPG],TableVerdeelsleutelVkm[Voertuigtype],"Lichte voertuigen")*SUMIFS(TableECFTransport[EnergieConsumptieFactor (PJ per km)],TableECFTransport[Index],CONCATENATE($A8,"_LPG_LPG"))</f>
        <v>6.8060982702259222E-4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9.996644784979275E-2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2.5747330404902322E-2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5.6274483168788575E-3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7.6967023107826561E-8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1.6326878552816452E-2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4.1237557445394309E-7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7.2649165559581083E-4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2.1634613065060198E-5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2.4130165800175229E-5</v>
      </c>
      <c r="E10" s="423">
        <f>vkm_SW_PW*SUMIFS(TableVerdeelsleutelVkm[LPG],TableVerdeelsleutelVkm[Voertuigtype],"Lichte voertuigen")*SUMIFS(TableECFTransport[EnergieConsumptieFactor (PJ per km)],TableECFTransport[Index],CONCATENATE($A10,"_LPG_LPG"))</f>
        <v>1.9240812750139446E-3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0.28048093046984079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6.1981404564541827E-2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1.531928151844195E-2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1.0613859009317945E-6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0.16446546143272109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4.8492609096156615E-6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7.318196491763E-3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11.460135827073012</v>
      </c>
      <c r="C14" s="22"/>
      <c r="D14" s="22">
        <f t="shared" ref="D14:M14" si="0">((D5)*10^9/3600)+D12</f>
        <v>13.805124965868815</v>
      </c>
      <c r="E14" s="22">
        <f t="shared" si="0"/>
        <v>984.76273753676253</v>
      </c>
      <c r="F14" s="22"/>
      <c r="G14" s="22">
        <f t="shared" si="0"/>
        <v>206600.72482287156</v>
      </c>
      <c r="H14" s="22">
        <f t="shared" si="0"/>
        <v>34193.481113340553</v>
      </c>
      <c r="I14" s="22"/>
      <c r="J14" s="22"/>
      <c r="K14" s="22"/>
      <c r="L14" s="22"/>
      <c r="M14" s="22">
        <f t="shared" si="0"/>
        <v>10759.081766374935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0.21134429370530153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2.4220343121395671</v>
      </c>
      <c r="C18" s="24"/>
      <c r="D18" s="24">
        <f t="shared" ref="D18:M18" si="1">D14*D16</f>
        <v>2.7886352431055008</v>
      </c>
      <c r="E18" s="24">
        <f t="shared" si="1"/>
        <v>223.54114142084509</v>
      </c>
      <c r="F18" s="24"/>
      <c r="G18" s="24">
        <f t="shared" si="1"/>
        <v>55162.393527706707</v>
      </c>
      <c r="H18" s="24">
        <f t="shared" si="1"/>
        <v>8514.1767972217967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8.7522057619131451E-5</v>
      </c>
      <c r="C50" s="316">
        <f t="shared" ref="C50:P50" si="2">SUM(C51:C52)</f>
        <v>0</v>
      </c>
      <c r="D50" s="316">
        <f t="shared" si="2"/>
        <v>0</v>
      </c>
      <c r="E50" s="316">
        <f t="shared" si="2"/>
        <v>0</v>
      </c>
      <c r="F50" s="316">
        <f t="shared" si="2"/>
        <v>0</v>
      </c>
      <c r="G50" s="316">
        <f t="shared" si="2"/>
        <v>1.7456446947591749E-2</v>
      </c>
      <c r="H50" s="316">
        <f t="shared" si="2"/>
        <v>0</v>
      </c>
      <c r="I50" s="316">
        <f t="shared" si="2"/>
        <v>0</v>
      </c>
      <c r="J50" s="316">
        <f t="shared" si="2"/>
        <v>0</v>
      </c>
      <c r="K50" s="316">
        <f t="shared" si="2"/>
        <v>0</v>
      </c>
      <c r="L50" s="316">
        <f t="shared" si="2"/>
        <v>0</v>
      </c>
      <c r="M50" s="316">
        <f t="shared" si="2"/>
        <v>7.7155636292391126E-4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8.7522057619131451E-5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1.7456446947591749E-2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7.7155636292391126E-4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24.311682671980957</v>
      </c>
      <c r="C54" s="22">
        <f t="shared" ref="C54:P54" si="3">(C50)*10^9/3600</f>
        <v>0</v>
      </c>
      <c r="D54" s="22">
        <f t="shared" si="3"/>
        <v>0</v>
      </c>
      <c r="E54" s="22">
        <f t="shared" si="3"/>
        <v>0</v>
      </c>
      <c r="F54" s="22">
        <f t="shared" si="3"/>
        <v>0</v>
      </c>
      <c r="G54" s="22">
        <f t="shared" si="3"/>
        <v>4849.0130409977082</v>
      </c>
      <c r="H54" s="22">
        <f t="shared" si="3"/>
        <v>0</v>
      </c>
      <c r="I54" s="22">
        <f t="shared" si="3"/>
        <v>0</v>
      </c>
      <c r="J54" s="22">
        <f t="shared" si="3"/>
        <v>0</v>
      </c>
      <c r="K54" s="22">
        <f t="shared" si="3"/>
        <v>0</v>
      </c>
      <c r="L54" s="22">
        <f t="shared" si="3"/>
        <v>0</v>
      </c>
      <c r="M54" s="22">
        <f t="shared" si="3"/>
        <v>214.32121192330871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0.21134429370530153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5.138135403097233</v>
      </c>
      <c r="C58" s="24">
        <f t="shared" ref="C58:P58" ca="1" si="4">C54*C56</f>
        <v>0</v>
      </c>
      <c r="D58" s="24">
        <f t="shared" si="4"/>
        <v>0</v>
      </c>
      <c r="E58" s="24">
        <f t="shared" si="4"/>
        <v>0</v>
      </c>
      <c r="F58" s="24">
        <f t="shared" si="4"/>
        <v>0</v>
      </c>
      <c r="G58" s="24">
        <f t="shared" si="4"/>
        <v>1294.6864819463881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2758.0876471780593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2758.0876471780593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2021-06-29T16:40:09Z</dcterms:modified>
</cp:coreProperties>
</file>