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<sst xmlns="http://schemas.openxmlformats.org/spreadsheetml/2006/main" count="2565" uniqueCount="965">
  <si>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</si>
  <si>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</si>
  <si>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</si>
  <si>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</si>
  <si>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</si>
  <si>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</si>
  <si>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</si>
  <si>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</si>
  <si>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</si>
  <si>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</si>
  <si>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</si>
  <si>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</si>
  <si>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</si>
  <si>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</si>
  <si>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</si>
  <si>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</si>
  <si>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</si>
  <si>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</si>
  <si>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</si>
  <si>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</si>
  <si>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</si>
  <si>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</si>
  <si>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</si>
  <si>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</si>
  <si>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</si>
  <si>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</si>
  <si>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</si>
  <si>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</si>
  <si>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</si>
  <si>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</si>
  <si>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</si>
  <si>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</si>
  <si>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</si>
  <si>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</si>
  <si>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</si>
  <si>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</si>
  <si>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</si>
  <si>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</si>
  <si>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</si>
  <si>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</si>
  <si>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</si>
  <si>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</si>
  <si>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</si>
  <si>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</si>
  <si>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</si>
  <si>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</si>
  <si>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</si>
  <si>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</si>
  <si>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</si>
  <si>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</si>
  <si>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</si>
  <si>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</si>
  <si>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</si>
  <si>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</si>
  <si>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</si>
  <si>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</si>
  <si>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</si>
  <si>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</si>
  <si>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</si>
  <si>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</si>
  <si>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</si>
  <si>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</si>
  <si>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</si>
  <si>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</si>
  <si>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</si>
  <si>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</si>
  <si>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</si>
  <si>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</si>
  <si>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</si>
  <si>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</si>
  <si>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</si>
  <si>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</si>
  <si>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</si>
  <si>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</si>
  <si>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</si>
  <si>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</si>
  <si>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</si>
  <si>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</si>
  <si>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</si>
  <si>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</si>
  <si>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</si>
  <si>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</si>
  <si>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</si>
  <si>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</si>
  <si>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</si>
  <si>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</si>
  <si>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</si>
  <si>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</si>
  <si>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</si>
  <si>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</si>
  <si>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</si>
  <si>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</si>
  <si>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</si>
  <si>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</si>
  <si>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</si>
  <si>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</si>
  <si>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</si>
  <si>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</si>
  <si>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</si>
  <si>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</si>
  <si>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</si>
  <si>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</si>
  <si>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</si>
  <si>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</si>
  <si>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</si>
  <si>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</si>
  <si>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</si>
  <si>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</si>
  <si>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</si>
  <si>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</si>
  <si>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</si>
  <si>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</si>
  <si>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</si>
  <si>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</si>
  <si>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</si>
  <si>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</si>
  <si>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</si>
  <si>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</si>
  <si>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</si>
  <si>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</si>
  <si>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</si>
  <si>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</si>
  <si>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</si>
  <si>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</si>
  <si>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</si>
  <si>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</si>
  <si>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</si>
  <si>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</si>
  <si>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</si>
  <si>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</si>
  <si>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</si>
  <si>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</si>
  <si>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</si>
  <si>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</si>
  <si>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</si>
  <si>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</si>
  <si>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</si>
  <si>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</si>
  <si>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</si>
  <si>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</si>
  <si>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</si>
  <si>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</si>
  <si>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</si>
  <si>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</si>
  <si>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</si>
  <si>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</si>
  <si>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</si>
  <si>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</si>
  <si>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</si>
  <si>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</si>
  <si>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</si>
  <si>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</si>
  <si>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</si>
  <si>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</si>
  <si>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</si>
  <si>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</si>
  <si>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</si>
  <si>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</si>
  <si>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</si>
  <si>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</si>
  <si>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</si>
  <si>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</si>
  <si>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</si>
  <si>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</si>
  <si>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</si>
  <si>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</si>
  <si>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</si>
  <si>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</si>
  <si>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</si>
  <si>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</si>
  <si>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</si>
  <si>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</si>
  <si>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</si>
  <si>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</si>
  <si>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</si>
  <si>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</si>
  <si>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</si>
  <si>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</si>
  <si>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</si>
  <si>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</si>
  <si>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</si>
  <si>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</si>
  <si>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</si>
  <si>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</si>
  <si>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</si>
  <si>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</si>
  <si>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</si>
  <si>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</si>
  <si>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</si>
  <si>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</si>
  <si>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</si>
  <si>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</si>
  <si>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</si>
  <si>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</si>
  <si>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</si>
  <si>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</si>
  <si>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</si>
  <si>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</si>
  <si>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</si>
  <si>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</si>
  <si>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</si>
  <si>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</si>
  <si>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</si>
  <si>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</si>
  <si>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</si>
  <si>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</si>
  <si>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</si>
  <si>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</si>
  <si>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</si>
  <si>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</si>
  <si>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</si>
  <si>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</si>
  <si>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</si>
  <si>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</si>
  <si>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</si>
  <si>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</si>
  <si>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</si>
  <si>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</si>
  <si>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</si>
  <si>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</si>
  <si>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</si>
  <si>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</si>
  <si>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</si>
  <si>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</si>
  <si>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</si>
  <si>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</si>
  <si>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</si>
  <si>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</si>
  <si>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</si>
  <si>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</si>
  <si>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</si>
  <si>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</si>
  <si>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</si>
  <si>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</si>
  <si>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</si>
  <si>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</si>
  <si>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</si>
  <si>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</si>
  <si>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</si>
  <si>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</si>
  <si>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</si>
  <si>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</si>
  <si>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</si>
  <si>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</si>
  <si>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</si>
  <si>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</si>
  <si>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</si>
  <si>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</si>
  <si>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</si>
  <si>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</si>
  <si>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</si>
  <si>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</si>
  <si>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</si>
  <si>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</si>
  <si>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</si>
  <si>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</si>
  <si>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</si>
  <si>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</si>
  <si>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</si>
  <si>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</si>
  <si>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</si>
  <si>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</si>
  <si>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</si>
  <si>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</si>
  <si>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</si>
  <si>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</si>
  <si>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</si>
  <si>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</si>
  <si>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</si>
  <si>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</si>
  <si>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</si>
  <si>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</si>
  <si>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</si>
  <si>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</si>
  <si>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</si>
  <si>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</si>
  <si>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</si>
  <si>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</si>
  <si>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</si>
  <si>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</si>
  <si>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</si>
  <si>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</si>
  <si>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</si>
  <si>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</si>
  <si>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</si>
  <si>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</si>
  <si>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</si>
  <si>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</si>
  <si>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</si>
  <si>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</si>
  <si>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</si>
  <si>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</si>
  <si>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</si>
  <si>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</si>
  <si>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</si>
  <si>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</si>
  <si>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</si>
  <si>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</si>
  <si>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</si>
  <si>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</si>
  <si>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</si>
  <si>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</si>
  <si>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</si>
  <si>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</si>
  <si>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</si>
  <si>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</si>
  <si>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</si>
  <si>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</si>
  <si>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</si>
  <si>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</si>
  <si>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</si>
  <si>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</si>
  <si>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</si>
  <si>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</si>
  <si>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</si>
  <si>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</si>
  <si>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</si>
  <si>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</si>
  <si>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</si>
  <si>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</si>
  <si>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</si>
  <si>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</si>
  <si>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</si>
  <si>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</si>
  <si>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</si>
  <si>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</si>
  <si>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</si>
  <si>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</si>
  <si>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</si>
  <si>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</si>
  <si>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</si>
  <si>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</si>
  <si>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</si>
  <si>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</si>
  <si>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</si>
  <si>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</si>
  <si>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</si>
  <si>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</si>
  <si>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</si>
  <si>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</si>
  <si>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</si>
  <si>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</si>
  <si>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</si>
  <si>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</si>
  <si>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</si>
  <si>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</si>
  <si>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</si>
  <si>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</si>
  <si>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</si>
  <si>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</si>
  <si>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</si>
  <si>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</si>
  <si>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</si>
  <si>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</si>
  <si>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</si>
  <si>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</si>
  <si>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</si>
  <si>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</si>
  <si>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</si>
  <si>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</si>
  <si>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</si>
  <si>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</si>
  <si>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</si>
  <si>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</si>
  <si>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</si>
  <si>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</si>
  <si>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</si>
  <si>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</si>
  <si>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</si>
  <si>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</si>
  <si>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</si>
  <si>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</si>
  <si>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</si>
  <si>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</si>
  <si>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</si>
  <si>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</si>
  <si>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</si>
  <si>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</si>
  <si>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</si>
  <si>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</si>
  <si>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</si>
  <si>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</si>
  <si>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</si>
  <si>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</si>
  <si>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</si>
  <si>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</si>
  <si>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</si>
  <si>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</si>
  <si>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</si>
  <si>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</si>
  <si>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</si>
  <si>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</si>
  <si>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</si>
  <si>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</si>
  <si>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</si>
  <si>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</si>
  <si>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</si>
  <si>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</si>
  <si>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</si>
  <si>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</si>
  <si>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</si>
  <si>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</si>
  <si>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</si>
  <si>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</si>
  <si>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</si>
  <si>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</si>
  <si>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</si>
  <si>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</si>
  <si>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</si>
  <si>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</si>
  <si>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</si>
  <si>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</si>
  <si>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</si>
  <si>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</si>
  <si>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</si>
  <si>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</si>
  <si>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</si>
  <si>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</si>
  <si>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</si>
  <si>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</si>
  <si>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</si>
  <si>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</si>
  <si>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</si>
  <si>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</si>
  <si>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</si>
  <si>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</si>
  <si>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</si>
  <si>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</si>
  <si>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</si>
  <si>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</si>
  <si>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</si>
  <si>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</si>
  <si>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</si>
  <si>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</si>
  <si>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</si>
  <si>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</si>
  <si>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</si>
  <si>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</si>
  <si>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</si>
  <si>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</si>
  <si>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</si>
  <si>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</si>
  <si>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</si>
  <si>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</si>
  <si>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</si>
  <si>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</si>
  <si>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</si>
  <si>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</si>
  <si>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</si>
  <si>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</si>
  <si>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</si>
  <si>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</si>
  <si>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</si>
  <si>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</si>
  <si>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</si>
  <si>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</si>
  <si>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</si>
  <si>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</si>
  <si>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</si>
  <si>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</si>
  <si>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</si>
  <si>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</si>
  <si>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</si>
  <si>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</si>
  <si>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</si>
  <si>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</si>
  <si>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</si>
  <si>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</si>
  <si>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</si>
  <si>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</si>
  <si>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</si>
  <si>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</si>
  <si>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</si>
  <si>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</si>
  <si>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</si>
  <si>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</si>
  <si>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</si>
  <si>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</si>
  <si>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</si>
  <si>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</si>
  <si>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</si>
  <si>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</si>
  <si>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</si>
  <si>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</si>
  <si>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</si>
  <si>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</si>
  <si>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</si>
  <si>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</si>
  <si>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</si>
  <si>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</si>
  <si>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</si>
  <si>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</si>
  <si>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</si>
  <si>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</si>
  <si>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</si>
  <si>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</si>
  <si>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</si>
  <si>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</si>
  <si>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</si>
  <si>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</si>
  <si>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</si>
  <si>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</si>
  <si>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</si>
  <si>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</si>
  <si>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</si>
  <si>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</si>
  <si>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</si>
  <si>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</si>
  <si>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</si>
  <si>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</si>
  <si>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</si>
  <si>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</si>
  <si>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</si>
  <si>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</si>
  <si>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</si>
  <si>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</si>
  <si>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</si>
  <si>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</si>
  <si>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</si>
  <si>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</si>
  <si>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</si>
  <si>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</si>
  <si>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</si>
  <si>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</si>
  <si>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</si>
  <si>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</si>
  <si>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</si>
  <si>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</si>
  <si>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</si>
  <si>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</si>
  <si>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</si>
  <si>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</si>
  <si>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</si>
  <si>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</si>
  <si>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</si>
  <si>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</si>
  <si>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</si>
  <si>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</si>
  <si>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</si>
  <si>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</si>
  <si>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</si>
  <si>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</si>
  <si>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</si>
  <si>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</si>
  <si>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</si>
  <si>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</si>
  <si>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</si>
  <si>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</si>
  <si>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</si>
  <si>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</si>
  <si>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</si>
  <si>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</si>
  <si>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</si>
  <si>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</si>
  <si>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</si>
  <si>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</si>
  <si>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</si>
  <si>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</si>
  <si>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</si>
  <si>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</si>
  <si>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</si>
  <si>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</si>
  <si>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</si>
  <si>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</si>
  <si>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</si>
  <si>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</si>
  <si>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</si>
  <si>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</si>
  <si>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</si>
  <si>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</si>
  <si>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</si>
  <si>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</si>
  <si>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</si>
  <si>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</si>
  <si>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</si>
  <si>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</si>
  <si>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</si>
  <si>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</si>
  <si>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</si>
  <si>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</si>
  <si>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</si>
  <si>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</si>
  <si>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</si>
  <si>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</si>
  <si>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</si>
  <si>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</si>
  <si>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</si>
  <si>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</si>
  <si>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</si>
  <si>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</si>
  <si>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</si>
  <si>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</si>
  <si>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</si>
  <si>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</si>
  <si>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</si>
  <si>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</si>
  <si>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</si>
  <si>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</si>
  <si>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</si>
  <si>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</si>
  <si>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</si>
  <si>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</si>
  <si>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</si>
  <si>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</si>
  <si>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</si>
  <si>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</si>
  <si>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</si>
  <si>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</si>
  <si>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</si>
  <si>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</si>
  <si>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</si>
  <si>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</si>
  <si>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</si>
  <si>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</si>
  <si>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</si>
  <si>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</si>
  <si>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</si>
  <si>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</si>
  <si>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</si>
  <si>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</si>
  <si>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</si>
  <si>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</si>
  <si>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</si>
  <si>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</si>
  <si>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</si>
  <si>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</si>
  <si>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</si>
  <si>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</si>
  <si>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</si>
  <si>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</si>
  <si>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</si>
  <si>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</si>
  <si>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</si>
  <si>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</si>
  <si>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</si>
  <si>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</si>
  <si>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</si>
  <si>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</si>
  <si>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</si>
  <si>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</si>
  <si>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</si>
  <si>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</si>
  <si>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</si>
  <si>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</si>
  <si>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</si>
  <si>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</si>
  <si>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</si>
  <si>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</si>
  <si>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</si>
  <si>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</si>
  <si>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</si>
  <si>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</si>
  <si>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</si>
  <si>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</si>
  <si>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</si>
  <si>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</si>
  <si>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</si>
  <si>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</si>
  <si>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</si>
  <si>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</si>
  <si>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</si>
  <si>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</si>
  <si>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</si>
  <si>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</si>
  <si>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</si>
  <si>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</si>
  <si>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</si>
  <si>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</si>
  <si>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</si>
  <si>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</si>
  <si>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</si>
  <si>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</si>
  <si>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</si>
  <si>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</si>
  <si>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</si>
  <si>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</si>
  <si>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</si>
  <si>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</si>
  <si>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</si>
  <si>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</si>
  <si>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</si>
  <si>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</si>
  <si>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</si>
  <si>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</si>
  <si>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</si>
  <si>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</si>
  <si>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</si>
  <si>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</si>
  <si>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</si>
  <si>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</si>
  <si>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</si>
  <si>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</si>
  <si>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</si>
  <si>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</si>
  <si>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</si>
  <si>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</si>
  <si>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</si>
  <si>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</si>
  <si>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</si>
  <si>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</si>
  <si>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</si>
  <si>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</si>
  <si>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</si>
  <si>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</si>
  <si>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</si>
  <si>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</si>
  <si>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</si>
  <si>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</si>
  <si>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</si>
  <si>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</si>
  <si>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</si>
  <si>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</si>
  <si>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</si>
  <si>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</si>
  <si>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</si>
  <si>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</si>
  <si>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</si>
  <si>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</si>
  <si>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</si>
  <si>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</si>
  <si>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</si>
  <si>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</si>
  <si>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</si>
  <si>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</si>
  <si>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</si>
  <si>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</si>
  <si>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</si>
  <si>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</si>
  <si>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</si>
  <si>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</si>
  <si>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</si>
  <si>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</si>
  <si>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</si>
  <si>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</si>
  <si>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</si>
  <si>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</si>
  <si>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</si>
  <si>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</si>
  <si>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</si>
  <si>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</si>
  <si>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</si>
  <si>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</si>
  <si>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</si>
  <si>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</si>
  <si>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</si>
  <si>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</si>
  <si>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</si>
  <si>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</si>
  <si>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</si>
  <si>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</si>
  <si>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</si>
  <si>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</si>
  <si>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</si>
  <si>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</si>
  <si>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</si>
  <si>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</si>
  <si>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</si>
  <si>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</si>
  <si>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</si>
  <si>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</si>
  <si>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</si>
  <si>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</si>
  <si>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</si>
  <si>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</si>
  <si>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</si>
  <si>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</si>
  <si>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</si>
  <si>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</si>
  <si>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</si>
  <si>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</si>
  <si>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</si>
  <si>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</si>
  <si>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</si>
  <si>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</si>
  <si>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</si>
  <si>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</si>
  <si>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</si>
  <si>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</si>
  <si>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</si>
  <si>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</si>
  <si>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</si>
  <si>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</si>
  <si>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</si>
  <si>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</si>
  <si>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</si>
  <si>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</si>
  <si>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</si>
  <si>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</si>
  <si>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</si>
  <si>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</si>
  <si>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</si>
  <si>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</si>
  <si>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</si>
  <si>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</si>
  <si>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</si>
  <si>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</si>
  <si>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</si>
  <si>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</si>
  <si>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</si>
  <si>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</si>
  <si>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</si>
  <si>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</si>
  <si>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</si>
  <si>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</si>
  <si>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</si>
  <si>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</si>
  <si>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</si>
  <si>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</si>
  <si>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</si>
  <si>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</si>
  <si>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</si>
  <si>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</si>
  <si>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</si>
  <si>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</si>
  <si>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</si>
  <si>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</si>
  <si>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</si>
  <si>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</si>
  <si>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</si>
  <si>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</si>
  <si>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</si>
  <si>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</si>
  <si>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</si>
  <si>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</si>
  <si>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</si>
  <si>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</si>
  <si>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</si>
  <si>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</si>
  <si>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</si>
  <si>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</si>
  <si>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</si>
  <si>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</si>
  <si>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</si>
  <si>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</si>
  <si>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</si>
  <si>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</si>
  <si>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</si>
  <si>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</si>
  <si>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</si>
  <si>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</si>
  <si>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</si>
  <si>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</si>
  <si>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</si>
  <si>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</si>
  <si>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</si>
  <si>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</si>
  <si>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</si>
  <si>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</si>
  <si>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</si>
  <si>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</si>
  <si>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</si>
  <si>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</si>
  <si>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</si>
  <si>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</si>
  <si>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</si>
  <si>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</si>
  <si>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</si>
  <si>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</si>
  <si>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</si>
  <si>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</si>
  <si>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</si>
  <si>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</si>
  <si>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</si>
  <si>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</si>
  <si>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</si>
  <si>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</si>
  <si>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</si>
  <si>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</si>
  <si>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</si>
  <si>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</si>
  <si>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</si>
  <si>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</si>
  <si>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</si>
  <si>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</si>
  <si>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</si>
  <si>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</si>
  <si>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</si>
  <si>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</si>
  <si>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</si>
  <si>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</si>
  <si>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</si>
  <si>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</si>
  <si>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</si>
  <si>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</si>
  <si>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</si>
  <si>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</si>
  <si>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</si>
  <si>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</si>
  <si>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</si>
  <si>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</si>
  <si>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</si>
  <si>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</si>
  <si>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</si>
  <si>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</si>
  <si>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</si>
  <si>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</si>
  <si>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</si>
  <si>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</si>
  <si>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</si>
  <si>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</si>
  <si>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</si>
  <si>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</si>
  <si>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</si>
  <si>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</si>
  <si>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</si>
  <si>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</si>
  <si>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</si>
  <si>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</si>
  <si>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</si>
  <si>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</si>
  <si>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</si>
  <si>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</si>
  <si>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</si>
  <si>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</si>
  <si>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</si>
  <si>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</si>
  <si>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</si>
  <si>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</si>
  <si>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</si>
  <si>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</si>
  <si>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</si>
  <si>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</si>
  <si>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</si>
  <si>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</si>
  <si>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</si>
  <si>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</si>
  <si>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</si>
  <si>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</si>
  <si>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</si>
  <si>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</si>
  <si>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</si>
  <si>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</si>
  <si>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</si>
  <si>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</si>
  <si>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</si>
  <si>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</si>
  <si>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</si>
  <si>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</si>
  <si>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</si>
  <si>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</si>
  <si>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</si>
  <si>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</si>
  <si>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</si>
  <si>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</si>
  <si>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</si>
  <si>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</si>
  <si>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</si>
  <si>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</si>
  <si>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</si>
  <si>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</si>
  <si>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</si>
  <si>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</si>
  <si>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</si>
  <si>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</si>
  <si>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</si>
  <si>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</si>
  <si>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</si>
  <si>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</si>
  <si>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</si>
  <si>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23033</t>
  </si>
  <si>
    <t>HOEILAART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</si>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</sst>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23033</v>
      </c>
      <c r="B6" s="386"/>
      <c r="C6" s="387"/>
    </row>
    <row r="7" spans="1:7" s="384" customFormat="1" ht="15.75" customHeight="1">
      <c r="A7" s="388" t="str">
        <f>txtMunicipality</f>
        <v>HOEILAART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10545.272035167847</v>
      </c>
      <c r="D10" s="676">
        <f ca="1">tertiair!C16</f>
        <v>0</v>
      </c>
      <c r="E10" s="676">
        <f ca="1">tertiair!D16</f>
        <v>16512.769428795436</v>
      </c>
      <c r="F10" s="676">
        <f>tertiair!E16</f>
        <v>61.469338161168125</v>
      </c>
      <c r="G10" s="676">
        <f ca="1">tertiair!F16</f>
        <v>1758.0302312927031</v>
      </c>
      <c r="H10" s="676">
        <f>tertiair!G16</f>
        <v>0</v>
      </c>
      <c r="I10" s="676">
        <f>tertiair!H16</f>
        <v>0</v>
      </c>
      <c r="J10" s="676">
        <f>tertiair!I16</f>
        <v>0</v>
      </c>
      <c r="K10" s="676">
        <f>tertiair!J16</f>
        <v>0</v>
      </c>
      <c r="L10" s="676">
        <f>tertiair!K16</f>
        <v>0</v>
      </c>
      <c r="M10" s="676">
        <f ca="1">tertiair!L16</f>
        <v>0</v>
      </c>
      <c r="N10" s="676">
        <f>tertiair!M16</f>
        <v>0</v>
      </c>
      <c r="O10" s="676">
        <f ca="1">tertiair!N16</f>
        <v>843.6310734323838</v>
      </c>
      <c r="P10" s="676">
        <f>tertiair!O16</f>
        <v>1.5633333333333335</v>
      </c>
      <c r="Q10" s="677">
        <f>tertiair!P16</f>
        <v>38.133333333333333</v>
      </c>
      <c r="R10" s="679">
        <f ca="1">SUM(C10:Q10)</f>
        <v>29760.868773516206</v>
      </c>
      <c r="S10" s="68"/>
    </row>
    <row r="11" spans="1:19" s="445" customFormat="1">
      <c r="A11" s="791" t="s">
        <v>220</v>
      </c>
      <c r="B11" s="796"/>
      <c r="C11" s="676">
        <f>huishoudens!B8</f>
        <v>19061.771909802163</v>
      </c>
      <c r="D11" s="676">
        <f>huishoudens!C8</f>
        <v>0</v>
      </c>
      <c r="E11" s="676">
        <f>huishoudens!D8</f>
        <v>60764.996707694772</v>
      </c>
      <c r="F11" s="676">
        <f>huishoudens!E8</f>
        <v>819.99723480531736</v>
      </c>
      <c r="G11" s="676">
        <f>huishoudens!F8</f>
        <v>24999.334994635763</v>
      </c>
      <c r="H11" s="676">
        <f>huishoudens!G8</f>
        <v>0</v>
      </c>
      <c r="I11" s="676">
        <f>huishoudens!H8</f>
        <v>0</v>
      </c>
      <c r="J11" s="676">
        <f>huishoudens!I8</f>
        <v>0</v>
      </c>
      <c r="K11" s="676">
        <f>huishoudens!J8</f>
        <v>453.60422256353536</v>
      </c>
      <c r="L11" s="676">
        <f>huishoudens!K8</f>
        <v>0</v>
      </c>
      <c r="M11" s="676">
        <f>huishoudens!L8</f>
        <v>0</v>
      </c>
      <c r="N11" s="676">
        <f>huishoudens!M8</f>
        <v>0</v>
      </c>
      <c r="O11" s="676">
        <f>huishoudens!N8</f>
        <v>5971.8934742674319</v>
      </c>
      <c r="P11" s="676">
        <f>huishoudens!O8</f>
        <v>89.11</v>
      </c>
      <c r="Q11" s="677">
        <f>huishoudens!P8</f>
        <v>171.6</v>
      </c>
      <c r="R11" s="679">
        <f>SUM(C11:Q11)</f>
        <v>112332.30854376899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1551.130243720422</v>
      </c>
      <c r="D13" s="676">
        <f>industrie!C18</f>
        <v>0</v>
      </c>
      <c r="E13" s="676">
        <f>industrie!D18</f>
        <v>1326.3804526378374</v>
      </c>
      <c r="F13" s="676">
        <f>industrie!E18</f>
        <v>25.691363759234175</v>
      </c>
      <c r="G13" s="676">
        <f>industrie!F18</f>
        <v>648.00861431375722</v>
      </c>
      <c r="H13" s="676">
        <f>industrie!G18</f>
        <v>0</v>
      </c>
      <c r="I13" s="676">
        <f>industrie!H18</f>
        <v>0</v>
      </c>
      <c r="J13" s="676">
        <f>industrie!I18</f>
        <v>0</v>
      </c>
      <c r="K13" s="676">
        <f>industrie!J18</f>
        <v>6.7343869117435986</v>
      </c>
      <c r="L13" s="676">
        <f>industrie!K18</f>
        <v>0</v>
      </c>
      <c r="M13" s="676">
        <f>industrie!L18</f>
        <v>0</v>
      </c>
      <c r="N13" s="676">
        <f>industrie!M18</f>
        <v>0</v>
      </c>
      <c r="O13" s="676">
        <f>industrie!N18</f>
        <v>73.726179922318209</v>
      </c>
      <c r="P13" s="676">
        <f>industrie!O18</f>
        <v>0</v>
      </c>
      <c r="Q13" s="677">
        <f>industrie!P18</f>
        <v>0</v>
      </c>
      <c r="R13" s="679">
        <f>SUM(C13:Q13)</f>
        <v>3631.6712412653128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31158.174188690431</v>
      </c>
      <c r="D16" s="709">
        <f t="shared" ref="D16:R16" ca="1" si="0">SUM(D9:D15)</f>
        <v>0</v>
      </c>
      <c r="E16" s="709">
        <f t="shared" ca="1" si="0"/>
        <v>78604.146589128053</v>
      </c>
      <c r="F16" s="709">
        <f t="shared" si="0"/>
        <v>907.15793672571965</v>
      </c>
      <c r="G16" s="709">
        <f t="shared" ca="1" si="0"/>
        <v>27405.37384024222</v>
      </c>
      <c r="H16" s="709">
        <f t="shared" si="0"/>
        <v>0</v>
      </c>
      <c r="I16" s="709">
        <f t="shared" si="0"/>
        <v>0</v>
      </c>
      <c r="J16" s="709">
        <f t="shared" si="0"/>
        <v>0</v>
      </c>
      <c r="K16" s="709">
        <f t="shared" si="0"/>
        <v>460.33860947527899</v>
      </c>
      <c r="L16" s="709">
        <f t="shared" si="0"/>
        <v>0</v>
      </c>
      <c r="M16" s="709">
        <f t="shared" ca="1" si="0"/>
        <v>0</v>
      </c>
      <c r="N16" s="709">
        <f t="shared" si="0"/>
        <v>0</v>
      </c>
      <c r="O16" s="709">
        <f t="shared" ca="1" si="0"/>
        <v>6889.2507276221331</v>
      </c>
      <c r="P16" s="709">
        <f t="shared" si="0"/>
        <v>90.673333333333332</v>
      </c>
      <c r="Q16" s="709">
        <f t="shared" si="0"/>
        <v>209.73333333333332</v>
      </c>
      <c r="R16" s="709">
        <f t="shared" ca="1" si="0"/>
        <v>145724.8485585505</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5.9936184242625812</v>
      </c>
      <c r="D19" s="676">
        <f>transport!C54</f>
        <v>0</v>
      </c>
      <c r="E19" s="676">
        <f>transport!D54</f>
        <v>0</v>
      </c>
      <c r="F19" s="676">
        <f>transport!E54</f>
        <v>0</v>
      </c>
      <c r="G19" s="676">
        <f>transport!F54</f>
        <v>0</v>
      </c>
      <c r="H19" s="676">
        <f>transport!G54</f>
        <v>1195.4390115295657</v>
      </c>
      <c r="I19" s="676">
        <f>transport!H54</f>
        <v>0</v>
      </c>
      <c r="J19" s="676">
        <f>transport!I54</f>
        <v>0</v>
      </c>
      <c r="K19" s="676">
        <f>transport!J54</f>
        <v>0</v>
      </c>
      <c r="L19" s="676">
        <f>transport!K54</f>
        <v>0</v>
      </c>
      <c r="M19" s="676">
        <f>transport!L54</f>
        <v>0</v>
      </c>
      <c r="N19" s="676">
        <f>transport!M54</f>
        <v>52.837131095589449</v>
      </c>
      <c r="O19" s="676">
        <f>transport!N54</f>
        <v>0</v>
      </c>
      <c r="P19" s="676">
        <f>transport!O54</f>
        <v>0</v>
      </c>
      <c r="Q19" s="677">
        <f>transport!P54</f>
        <v>0</v>
      </c>
      <c r="R19" s="679">
        <f>SUM(C19:Q19)</f>
        <v>1254.2697610494179</v>
      </c>
      <c r="S19" s="68"/>
    </row>
    <row r="20" spans="1:19" s="445" customFormat="1">
      <c r="A20" s="791" t="s">
        <v>302</v>
      </c>
      <c r="B20" s="796"/>
      <c r="C20" s="676">
        <f>transport!B14</f>
        <v>9.1026070845649638</v>
      </c>
      <c r="D20" s="676">
        <f>transport!C14</f>
        <v>0</v>
      </c>
      <c r="E20" s="676">
        <f>transport!D14</f>
        <v>11.151500403388129</v>
      </c>
      <c r="F20" s="676">
        <f>transport!E14</f>
        <v>818.87087715826885</v>
      </c>
      <c r="G20" s="676">
        <f>transport!F14</f>
        <v>0</v>
      </c>
      <c r="H20" s="676">
        <f>transport!G14</f>
        <v>155184.90350877243</v>
      </c>
      <c r="I20" s="676">
        <f>transport!H14</f>
        <v>27790.604906138396</v>
      </c>
      <c r="J20" s="676">
        <f>transport!I14</f>
        <v>0</v>
      </c>
      <c r="K20" s="676">
        <f>transport!J14</f>
        <v>0</v>
      </c>
      <c r="L20" s="676">
        <f>transport!K14</f>
        <v>0</v>
      </c>
      <c r="M20" s="676">
        <f>transport!L14</f>
        <v>0</v>
      </c>
      <c r="N20" s="676">
        <f>transport!M14</f>
        <v>8178.0164682067152</v>
      </c>
      <c r="O20" s="676">
        <f>transport!N14</f>
        <v>0</v>
      </c>
      <c r="P20" s="676">
        <f>transport!O14</f>
        <v>0</v>
      </c>
      <c r="Q20" s="677">
        <f>transport!P14</f>
        <v>0</v>
      </c>
      <c r="R20" s="679">
        <f>SUM(C20:Q20)</f>
        <v>191992.64986776374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15.096225508827544</v>
      </c>
      <c r="D22" s="794">
        <f t="shared" ref="D22:R22" si="1">SUM(D18:D21)</f>
        <v>0</v>
      </c>
      <c r="E22" s="794">
        <f t="shared" si="1"/>
        <v>11.151500403388129</v>
      </c>
      <c r="F22" s="794">
        <f t="shared" si="1"/>
        <v>818.87087715826885</v>
      </c>
      <c r="G22" s="794">
        <f t="shared" si="1"/>
        <v>0</v>
      </c>
      <c r="H22" s="794">
        <f t="shared" si="1"/>
        <v>156380.34252030199</v>
      </c>
      <c r="I22" s="794">
        <f t="shared" si="1"/>
        <v>27790.604906138396</v>
      </c>
      <c r="J22" s="794">
        <f t="shared" si="1"/>
        <v>0</v>
      </c>
      <c r="K22" s="794">
        <f t="shared" si="1"/>
        <v>0</v>
      </c>
      <c r="L22" s="794">
        <f t="shared" si="1"/>
        <v>0</v>
      </c>
      <c r="M22" s="794">
        <f t="shared" si="1"/>
        <v>0</v>
      </c>
      <c r="N22" s="794">
        <f t="shared" si="1"/>
        <v>8230.8535993023052</v>
      </c>
      <c r="O22" s="794">
        <f t="shared" si="1"/>
        <v>0</v>
      </c>
      <c r="P22" s="794">
        <f t="shared" si="1"/>
        <v>0</v>
      </c>
      <c r="Q22" s="794">
        <f t="shared" si="1"/>
        <v>0</v>
      </c>
      <c r="R22" s="794">
        <f t="shared" si="1"/>
        <v>193246.91962881316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131.7311925741449</v>
      </c>
      <c r="D24" s="676">
        <f>+landbouw!C8</f>
        <v>0</v>
      </c>
      <c r="E24" s="676">
        <f>+landbouw!D8</f>
        <v>294.96127109450998</v>
      </c>
      <c r="F24" s="676">
        <f>+landbouw!E8</f>
        <v>1.2409960968427627</v>
      </c>
      <c r="G24" s="676">
        <f>+landbouw!F8</f>
        <v>429.88259911281529</v>
      </c>
      <c r="H24" s="676">
        <f>+landbouw!G8</f>
        <v>0</v>
      </c>
      <c r="I24" s="676">
        <f>+landbouw!H8</f>
        <v>0</v>
      </c>
      <c r="J24" s="676">
        <f>+landbouw!I8</f>
        <v>0</v>
      </c>
      <c r="K24" s="676">
        <f>+landbouw!J8</f>
        <v>16.295789261819326</v>
      </c>
      <c r="L24" s="676">
        <f>+landbouw!K8</f>
        <v>0</v>
      </c>
      <c r="M24" s="676">
        <f>+landbouw!L8</f>
        <v>0</v>
      </c>
      <c r="N24" s="676">
        <f>+landbouw!M8</f>
        <v>0</v>
      </c>
      <c r="O24" s="676">
        <f>+landbouw!N8</f>
        <v>0</v>
      </c>
      <c r="P24" s="676">
        <f>+landbouw!O8</f>
        <v>0</v>
      </c>
      <c r="Q24" s="677">
        <f>+landbouw!P8</f>
        <v>0</v>
      </c>
      <c r="R24" s="679">
        <f>SUM(C24:Q24)</f>
        <v>874.11184814013234</v>
      </c>
      <c r="S24" s="68"/>
    </row>
    <row r="25" spans="1:19" s="445" customFormat="1" ht="15" thickBot="1">
      <c r="A25" s="813" t="s">
        <v>879</v>
      </c>
      <c r="B25" s="979"/>
      <c r="C25" s="980">
        <f>IF(Onbekend_ele_kWh="---",0,Onbekend_ele_kWh)/1000+IF(REST_rest_ele_kWh="---",0,REST_rest_ele_kWh)/1000</f>
        <v>611.86645703993008</v>
      </c>
      <c r="D25" s="980"/>
      <c r="E25" s="980">
        <f>IF(onbekend_gas_kWh="---",0,onbekend_gas_kWh)/1000+IF(REST_rest_gas_kWh="---",0,REST_rest_gas_kWh)/1000</f>
        <v>1556.12588878323</v>
      </c>
      <c r="F25" s="980"/>
      <c r="G25" s="980"/>
      <c r="H25" s="980"/>
      <c r="I25" s="980"/>
      <c r="J25" s="980"/>
      <c r="K25" s="980"/>
      <c r="L25" s="980"/>
      <c r="M25" s="980"/>
      <c r="N25" s="980"/>
      <c r="O25" s="980"/>
      <c r="P25" s="980"/>
      <c r="Q25" s="981"/>
      <c r="R25" s="679">
        <f>SUM(C25:Q25)</f>
        <v>2167.9923458231601</v>
      </c>
      <c r="S25" s="68"/>
    </row>
    <row r="26" spans="1:19" s="445" customFormat="1" ht="15.75" thickBot="1">
      <c r="A26" s="682" t="s">
        <v>880</v>
      </c>
      <c r="B26" s="799"/>
      <c r="C26" s="794">
        <f>SUM(C24:C25)</f>
        <v>743.59764961407495</v>
      </c>
      <c r="D26" s="794">
        <f t="shared" ref="D26:R26" si="2">SUM(D24:D25)</f>
        <v>0</v>
      </c>
      <c r="E26" s="794">
        <f t="shared" si="2"/>
        <v>1851.0871598777401</v>
      </c>
      <c r="F26" s="794">
        <f t="shared" si="2"/>
        <v>1.2409960968427627</v>
      </c>
      <c r="G26" s="794">
        <f t="shared" si="2"/>
        <v>429.88259911281529</v>
      </c>
      <c r="H26" s="794">
        <f t="shared" si="2"/>
        <v>0</v>
      </c>
      <c r="I26" s="794">
        <f t="shared" si="2"/>
        <v>0</v>
      </c>
      <c r="J26" s="794">
        <f t="shared" si="2"/>
        <v>0</v>
      </c>
      <c r="K26" s="794">
        <f t="shared" si="2"/>
        <v>16.295789261819326</v>
      </c>
      <c r="L26" s="794">
        <f t="shared" si="2"/>
        <v>0</v>
      </c>
      <c r="M26" s="794">
        <f t="shared" si="2"/>
        <v>0</v>
      </c>
      <c r="N26" s="794">
        <f t="shared" si="2"/>
        <v>0</v>
      </c>
      <c r="O26" s="794">
        <f t="shared" si="2"/>
        <v>0</v>
      </c>
      <c r="P26" s="794">
        <f t="shared" si="2"/>
        <v>0</v>
      </c>
      <c r="Q26" s="794">
        <f t="shared" si="2"/>
        <v>0</v>
      </c>
      <c r="R26" s="794">
        <f t="shared" si="2"/>
        <v>3042.1041939632923</v>
      </c>
      <c r="S26" s="68"/>
    </row>
    <row r="27" spans="1:19" s="445" customFormat="1" ht="17.25" thickTop="1" thickBot="1">
      <c r="A27" s="683" t="s">
        <v>115</v>
      </c>
      <c r="B27" s="786"/>
      <c r="C27" s="684">
        <f ca="1">C22+C16+C26</f>
        <v>31916.868063813334</v>
      </c>
      <c r="D27" s="684">
        <f t="shared" ref="D27:R27" ca="1" si="3">D22+D16+D26</f>
        <v>0</v>
      </c>
      <c r="E27" s="684">
        <f t="shared" ca="1" si="3"/>
        <v>80466.385249409184</v>
      </c>
      <c r="F27" s="684">
        <f t="shared" si="3"/>
        <v>1727.2698099808313</v>
      </c>
      <c r="G27" s="684">
        <f t="shared" ca="1" si="3"/>
        <v>27835.256439355035</v>
      </c>
      <c r="H27" s="684">
        <f t="shared" si="3"/>
        <v>156380.34252030199</v>
      </c>
      <c r="I27" s="684">
        <f t="shared" si="3"/>
        <v>27790.604906138396</v>
      </c>
      <c r="J27" s="684">
        <f t="shared" si="3"/>
        <v>0</v>
      </c>
      <c r="K27" s="684">
        <f t="shared" si="3"/>
        <v>476.63439873709831</v>
      </c>
      <c r="L27" s="684">
        <f t="shared" si="3"/>
        <v>0</v>
      </c>
      <c r="M27" s="684">
        <f t="shared" ca="1" si="3"/>
        <v>0</v>
      </c>
      <c r="N27" s="684">
        <f t="shared" si="3"/>
        <v>8230.8535993023052</v>
      </c>
      <c r="O27" s="684">
        <f t="shared" ca="1" si="3"/>
        <v>6889.2507276221331</v>
      </c>
      <c r="P27" s="684">
        <f t="shared" si="3"/>
        <v>90.673333333333332</v>
      </c>
      <c r="Q27" s="684">
        <f t="shared" si="3"/>
        <v>209.73333333333332</v>
      </c>
      <c r="R27" s="684">
        <f t="shared" ca="1" si="3"/>
        <v>342013.87238132692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2260.6790673758942</v>
      </c>
      <c r="D40" s="676">
        <f ca="1">tertiair!C20</f>
        <v>0</v>
      </c>
      <c r="E40" s="676">
        <f ca="1">tertiair!D20</f>
        <v>3335.5794246166784</v>
      </c>
      <c r="F40" s="676">
        <f>tertiair!E20</f>
        <v>13.953539762585164</v>
      </c>
      <c r="G40" s="676">
        <f ca="1">tertiair!F20</f>
        <v>469.39407175515174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6079.6061035103085</v>
      </c>
    </row>
    <row r="41" spans="1:18">
      <c r="A41" s="804" t="s">
        <v>220</v>
      </c>
      <c r="B41" s="811"/>
      <c r="C41" s="676">
        <f ca="1">huishoudens!B12</f>
        <v>4086.4331047954493</v>
      </c>
      <c r="D41" s="676">
        <f ca="1">huishoudens!C12</f>
        <v>0</v>
      </c>
      <c r="E41" s="676">
        <f>huishoudens!D12</f>
        <v>12274.529334954344</v>
      </c>
      <c r="F41" s="676">
        <f>huishoudens!E12</f>
        <v>186.13937230080705</v>
      </c>
      <c r="G41" s="676">
        <f>huishoudens!F12</f>
        <v>6674.8224435677494</v>
      </c>
      <c r="H41" s="676">
        <f>huishoudens!G12</f>
        <v>0</v>
      </c>
      <c r="I41" s="676">
        <f>huishoudens!H12</f>
        <v>0</v>
      </c>
      <c r="J41" s="676">
        <f>huishoudens!I12</f>
        <v>0</v>
      </c>
      <c r="K41" s="676">
        <f>huishoudens!J12</f>
        <v>160.57589478749151</v>
      </c>
      <c r="L41" s="676">
        <f>huishoudens!K12</f>
        <v>0</v>
      </c>
      <c r="M41" s="676">
        <f>huishoudens!L12</f>
        <v>0</v>
      </c>
      <c r="N41" s="676">
        <f>huishoudens!M12</f>
        <v>0</v>
      </c>
      <c r="O41" s="676">
        <f>huishoudens!N12</f>
        <v>0</v>
      </c>
      <c r="P41" s="676">
        <f>huishoudens!O12</f>
        <v>0</v>
      </c>
      <c r="Q41" s="751">
        <f>huishoudens!P12</f>
        <v>0</v>
      </c>
      <c r="R41" s="832">
        <f t="shared" ca="1" si="4"/>
        <v>23382.500150405845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332.52889646261394</v>
      </c>
      <c r="D43" s="676">
        <f ca="1">industrie!C22</f>
        <v>0</v>
      </c>
      <c r="E43" s="676">
        <f>industrie!D22</f>
        <v>267.92885143284315</v>
      </c>
      <c r="F43" s="676">
        <f>industrie!E22</f>
        <v>5.8319395733461583</v>
      </c>
      <c r="G43" s="676">
        <f>industrie!F22</f>
        <v>173.0183000217732</v>
      </c>
      <c r="H43" s="676">
        <f>industrie!G22</f>
        <v>0</v>
      </c>
      <c r="I43" s="676">
        <f>industrie!H22</f>
        <v>0</v>
      </c>
      <c r="J43" s="676">
        <f>industrie!I22</f>
        <v>0</v>
      </c>
      <c r="K43" s="676">
        <f>industrie!J22</f>
        <v>2.3839729667572338</v>
      </c>
      <c r="L43" s="676">
        <f>industrie!K22</f>
        <v>0</v>
      </c>
      <c r="M43" s="676">
        <f>industrie!L22</f>
        <v>0</v>
      </c>
      <c r="N43" s="676">
        <f>industrie!M22</f>
        <v>0</v>
      </c>
      <c r="O43" s="676">
        <f>industrie!N22</f>
        <v>0</v>
      </c>
      <c r="P43" s="676">
        <f>industrie!O22</f>
        <v>0</v>
      </c>
      <c r="Q43" s="751">
        <f>industrie!P22</f>
        <v>0</v>
      </c>
      <c r="R43" s="831">
        <f t="shared" ca="1" si="4"/>
        <v>781.69196045733361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6679.6410686339577</v>
      </c>
      <c r="D46" s="709">
        <f t="shared" ref="D46:Q46" ca="1" si="5">SUM(D39:D45)</f>
        <v>0</v>
      </c>
      <c r="E46" s="709">
        <f t="shared" ca="1" si="5"/>
        <v>15878.037611003867</v>
      </c>
      <c r="F46" s="709">
        <f t="shared" si="5"/>
        <v>205.92485163673837</v>
      </c>
      <c r="G46" s="709">
        <f t="shared" ca="1" si="5"/>
        <v>7317.2348153446737</v>
      </c>
      <c r="H46" s="709">
        <f t="shared" si="5"/>
        <v>0</v>
      </c>
      <c r="I46" s="709">
        <f t="shared" si="5"/>
        <v>0</v>
      </c>
      <c r="J46" s="709">
        <f t="shared" si="5"/>
        <v>0</v>
      </c>
      <c r="K46" s="709">
        <f t="shared" si="5"/>
        <v>162.95986775424873</v>
      </c>
      <c r="L46" s="709">
        <f t="shared" si="5"/>
        <v>0</v>
      </c>
      <c r="M46" s="709">
        <f t="shared" ca="1" si="5"/>
        <v>0</v>
      </c>
      <c r="N46" s="709">
        <f t="shared" si="5"/>
        <v>0</v>
      </c>
      <c r="O46" s="709">
        <f t="shared" ca="1" si="5"/>
        <v>0</v>
      </c>
      <c r="P46" s="709">
        <f t="shared" si="5"/>
        <v>0</v>
      </c>
      <c r="Q46" s="709">
        <f t="shared" si="5"/>
        <v>0</v>
      </c>
      <c r="R46" s="709">
        <f ca="1">SUM(R39:R45)</f>
        <v>30243.798214373488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1.2849026240747181</v>
      </c>
      <c r="D49" s="676">
        <f ca="1">transport!C58</f>
        <v>0</v>
      </c>
      <c r="E49" s="676">
        <f>transport!D58</f>
        <v>0</v>
      </c>
      <c r="F49" s="676">
        <f>transport!E58</f>
        <v>0</v>
      </c>
      <c r="G49" s="676">
        <f>transport!F58</f>
        <v>0</v>
      </c>
      <c r="H49" s="676">
        <f>transport!G58</f>
        <v>319.18221607839405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320.46711870246878</v>
      </c>
    </row>
    <row r="50" spans="1:18">
      <c r="A50" s="807" t="s">
        <v>302</v>
      </c>
      <c r="B50" s="817"/>
      <c r="C50" s="986">
        <f ca="1">transport!B18</f>
        <v>1.9514027922652821</v>
      </c>
      <c r="D50" s="986">
        <f>transport!C18</f>
        <v>0</v>
      </c>
      <c r="E50" s="986">
        <f>transport!D18</f>
        <v>2.252603081484402</v>
      </c>
      <c r="F50" s="986">
        <f>transport!E18</f>
        <v>185.88368911492702</v>
      </c>
      <c r="G50" s="986">
        <f>transport!F18</f>
        <v>0</v>
      </c>
      <c r="H50" s="986">
        <f>transport!G18</f>
        <v>41434.369236842242</v>
      </c>
      <c r="I50" s="986">
        <f>transport!H18</f>
        <v>6919.8606216284606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48544.317553459376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3.2363054163400005</v>
      </c>
      <c r="D52" s="709">
        <f t="shared" ref="D52:Q52" ca="1" si="6">SUM(D48:D51)</f>
        <v>0</v>
      </c>
      <c r="E52" s="709">
        <f t="shared" si="6"/>
        <v>2.252603081484402</v>
      </c>
      <c r="F52" s="709">
        <f t="shared" si="6"/>
        <v>185.88368911492702</v>
      </c>
      <c r="G52" s="709">
        <f t="shared" si="6"/>
        <v>0</v>
      </c>
      <c r="H52" s="709">
        <f t="shared" si="6"/>
        <v>41753.551452920634</v>
      </c>
      <c r="I52" s="709">
        <f t="shared" si="6"/>
        <v>6919.8606216284606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48864.784672161848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28.240328801351037</v>
      </c>
      <c r="D54" s="986">
        <f ca="1">+landbouw!C12</f>
        <v>0</v>
      </c>
      <c r="E54" s="986">
        <f>+landbouw!D12</f>
        <v>59.58217676109102</v>
      </c>
      <c r="F54" s="986">
        <f>+landbouw!E12</f>
        <v>0.28170611398330714</v>
      </c>
      <c r="G54" s="986">
        <f>+landbouw!F12</f>
        <v>114.77865396312168</v>
      </c>
      <c r="H54" s="986">
        <f>+landbouw!G12</f>
        <v>0</v>
      </c>
      <c r="I54" s="986">
        <f>+landbouw!H12</f>
        <v>0</v>
      </c>
      <c r="J54" s="986">
        <f>+landbouw!I12</f>
        <v>0</v>
      </c>
      <c r="K54" s="986">
        <f>+landbouw!J12</f>
        <v>5.7687093986840416</v>
      </c>
      <c r="L54" s="986">
        <f>+landbouw!K12</f>
        <v>0</v>
      </c>
      <c r="M54" s="986">
        <f>+landbouw!L12</f>
        <v>0</v>
      </c>
      <c r="N54" s="986">
        <f>+landbouw!M12</f>
        <v>0</v>
      </c>
      <c r="O54" s="986">
        <f>+landbouw!N12</f>
        <v>0</v>
      </c>
      <c r="P54" s="986">
        <f>+landbouw!O12</f>
        <v>0</v>
      </c>
      <c r="Q54" s="987">
        <f>+landbouw!P12</f>
        <v>0</v>
      </c>
      <c r="R54" s="708">
        <f ca="1">SUM(C54:Q54)</f>
        <v>208.6515750382311</v>
      </c>
    </row>
    <row r="55" spans="1:18" ht="15" thickBot="1">
      <c r="A55" s="807" t="s">
        <v>879</v>
      </c>
      <c r="B55" s="817"/>
      <c r="C55" s="986">
        <f ca="1">C25*'EF ele_warmte'!B12</f>
        <v>131.17098229866625</v>
      </c>
      <c r="D55" s="986"/>
      <c r="E55" s="986">
        <f>E25*EF_CO2_aardgas</f>
        <v>314.3374295342125</v>
      </c>
      <c r="F55" s="986"/>
      <c r="G55" s="986"/>
      <c r="H55" s="986"/>
      <c r="I55" s="986"/>
      <c r="J55" s="986"/>
      <c r="K55" s="986"/>
      <c r="L55" s="986"/>
      <c r="M55" s="986"/>
      <c r="N55" s="986"/>
      <c r="O55" s="986"/>
      <c r="P55" s="986"/>
      <c r="Q55" s="987"/>
      <c r="R55" s="708">
        <f ca="1">SUM(C55:Q55)</f>
        <v>445.50841183287878</v>
      </c>
    </row>
    <row r="56" spans="1:18" ht="15.75" thickBot="1">
      <c r="A56" s="805" t="s">
        <v>880</v>
      </c>
      <c r="B56" s="818"/>
      <c r="C56" s="709">
        <f ca="1">SUM(C54:C55)</f>
        <v>159.41131110001729</v>
      </c>
      <c r="D56" s="709">
        <f t="shared" ref="D56:Q56" ca="1" si="7">SUM(D54:D55)</f>
        <v>0</v>
      </c>
      <c r="E56" s="709">
        <f t="shared" si="7"/>
        <v>373.91960629530354</v>
      </c>
      <c r="F56" s="709">
        <f t="shared" si="7"/>
        <v>0.28170611398330714</v>
      </c>
      <c r="G56" s="709">
        <f t="shared" si="7"/>
        <v>114.77865396312168</v>
      </c>
      <c r="H56" s="709">
        <f t="shared" si="7"/>
        <v>0</v>
      </c>
      <c r="I56" s="709">
        <f t="shared" si="7"/>
        <v>0</v>
      </c>
      <c r="J56" s="709">
        <f t="shared" si="7"/>
        <v>0</v>
      </c>
      <c r="K56" s="709">
        <f t="shared" si="7"/>
        <v>5.7687093986840416</v>
      </c>
      <c r="L56" s="709">
        <f t="shared" si="7"/>
        <v>0</v>
      </c>
      <c r="M56" s="709">
        <f t="shared" si="7"/>
        <v>0</v>
      </c>
      <c r="N56" s="709">
        <f t="shared" si="7"/>
        <v>0</v>
      </c>
      <c r="O56" s="709">
        <f t="shared" si="7"/>
        <v>0</v>
      </c>
      <c r="P56" s="709">
        <f t="shared" si="7"/>
        <v>0</v>
      </c>
      <c r="Q56" s="710">
        <f t="shared" si="7"/>
        <v>0</v>
      </c>
      <c r="R56" s="711">
        <f ca="1">SUM(R54:R55)</f>
        <v>654.15998687110982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6842.2886851503144</v>
      </c>
      <c r="D61" s="717">
        <f t="shared" ref="D61:Q61" ca="1" si="8">D46+D52+D56</f>
        <v>0</v>
      </c>
      <c r="E61" s="717">
        <f t="shared" ca="1" si="8"/>
        <v>16254.209820380654</v>
      </c>
      <c r="F61" s="717">
        <f t="shared" si="8"/>
        <v>392.09024686564874</v>
      </c>
      <c r="G61" s="717">
        <f t="shared" ca="1" si="8"/>
        <v>7432.0134693077953</v>
      </c>
      <c r="H61" s="717">
        <f t="shared" si="8"/>
        <v>41753.551452920634</v>
      </c>
      <c r="I61" s="717">
        <f t="shared" si="8"/>
        <v>6919.8606216284606</v>
      </c>
      <c r="J61" s="717">
        <f t="shared" si="8"/>
        <v>0</v>
      </c>
      <c r="K61" s="717">
        <f t="shared" si="8"/>
        <v>168.72857715293279</v>
      </c>
      <c r="L61" s="717">
        <f t="shared" si="8"/>
        <v>0</v>
      </c>
      <c r="M61" s="717">
        <f t="shared" ca="1" si="8"/>
        <v>0</v>
      </c>
      <c r="N61" s="717">
        <f t="shared" si="8"/>
        <v>0</v>
      </c>
      <c r="O61" s="717">
        <f t="shared" ca="1" si="8"/>
        <v>0</v>
      </c>
      <c r="P61" s="717">
        <f t="shared" si="8"/>
        <v>0</v>
      </c>
      <c r="Q61" s="717">
        <f t="shared" si="8"/>
        <v>0</v>
      </c>
      <c r="R61" s="717">
        <f ca="1">R46+R52+R56</f>
        <v>79762.742873406445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0.21437844939766995</v>
      </c>
      <c r="D63" s="761">
        <f t="shared" ca="1" si="9"/>
        <v>0</v>
      </c>
      <c r="E63" s="988">
        <f t="shared" ca="1" si="9"/>
        <v>0.20199999999999999</v>
      </c>
      <c r="F63" s="761">
        <f t="shared" si="9"/>
        <v>0.22700000000000004</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956.28577806530768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956.28577806530768</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19061.771909802163</v>
      </c>
      <c r="C4" s="449">
        <f>huishoudens!C8</f>
        <v>0</v>
      </c>
      <c r="D4" s="449">
        <f>huishoudens!D8</f>
        <v>60764.996707694772</v>
      </c>
      <c r="E4" s="449">
        <f>huishoudens!E8</f>
        <v>819.99723480531736</v>
      </c>
      <c r="F4" s="449">
        <f>huishoudens!F8</f>
        <v>24999.334994635763</v>
      </c>
      <c r="G4" s="449">
        <f>huishoudens!G8</f>
        <v>0</v>
      </c>
      <c r="H4" s="449">
        <f>huishoudens!H8</f>
        <v>0</v>
      </c>
      <c r="I4" s="449">
        <f>huishoudens!I8</f>
        <v>0</v>
      </c>
      <c r="J4" s="449">
        <f>huishoudens!J8</f>
        <v>453.60422256353536</v>
      </c>
      <c r="K4" s="449">
        <f>huishoudens!K8</f>
        <v>0</v>
      </c>
      <c r="L4" s="449">
        <f>huishoudens!L8</f>
        <v>0</v>
      </c>
      <c r="M4" s="449">
        <f>huishoudens!M8</f>
        <v>0</v>
      </c>
      <c r="N4" s="449">
        <f>huishoudens!N8</f>
        <v>5971.8934742674319</v>
      </c>
      <c r="O4" s="449">
        <f>huishoudens!O8</f>
        <v>89.11</v>
      </c>
      <c r="P4" s="450">
        <f>huishoudens!P8</f>
        <v>171.6</v>
      </c>
      <c r="Q4" s="451">
        <f>SUM(B4:P4)</f>
        <v>112332.30854376899</v>
      </c>
    </row>
    <row r="5" spans="1:17">
      <c r="A5" s="448" t="s">
        <v>155</v>
      </c>
      <c r="B5" s="449">
        <f ca="1">tertiair!B16</f>
        <v>9844.9300351678467</v>
      </c>
      <c r="C5" s="449">
        <f ca="1">tertiair!C16</f>
        <v>0</v>
      </c>
      <c r="D5" s="449">
        <f ca="1">tertiair!D16</f>
        <v>16512.769428795436</v>
      </c>
      <c r="E5" s="449">
        <f>tertiair!E16</f>
        <v>61.469338161168125</v>
      </c>
      <c r="F5" s="449">
        <f ca="1">tertiair!F16</f>
        <v>1758.0302312927031</v>
      </c>
      <c r="G5" s="449">
        <f>tertiair!G16</f>
        <v>0</v>
      </c>
      <c r="H5" s="449">
        <f>tertiair!H16</f>
        <v>0</v>
      </c>
      <c r="I5" s="449">
        <f>tertiair!I16</f>
        <v>0</v>
      </c>
      <c r="J5" s="449">
        <f>tertiair!J16</f>
        <v>0</v>
      </c>
      <c r="K5" s="449">
        <f>tertiair!K16</f>
        <v>0</v>
      </c>
      <c r="L5" s="449">
        <f ca="1">tertiair!L16</f>
        <v>0</v>
      </c>
      <c r="M5" s="449">
        <f>tertiair!M16</f>
        <v>0</v>
      </c>
      <c r="N5" s="449">
        <f ca="1">tertiair!N16</f>
        <v>843.6310734323838</v>
      </c>
      <c r="O5" s="449">
        <f>tertiair!O16</f>
        <v>1.5633333333333335</v>
      </c>
      <c r="P5" s="450">
        <f>tertiair!P16</f>
        <v>38.133333333333333</v>
      </c>
      <c r="Q5" s="448">
        <f t="shared" ref="Q5:Q14" ca="1" si="0">SUM(B5:P5)</f>
        <v>29060.526773516205</v>
      </c>
    </row>
    <row r="6" spans="1:17">
      <c r="A6" s="448" t="s">
        <v>193</v>
      </c>
      <c r="B6" s="449">
        <f>'openbare verlichting'!B8</f>
        <v>700.34199999999998</v>
      </c>
      <c r="C6" s="449"/>
      <c r="D6" s="449"/>
      <c r="E6" s="449"/>
      <c r="F6" s="449"/>
      <c r="G6" s="449"/>
      <c r="H6" s="449"/>
      <c r="I6" s="449"/>
      <c r="J6" s="449"/>
      <c r="K6" s="449"/>
      <c r="L6" s="449"/>
      <c r="M6" s="449"/>
      <c r="N6" s="449"/>
      <c r="O6" s="449"/>
      <c r="P6" s="450"/>
      <c r="Q6" s="448">
        <f t="shared" si="0"/>
        <v>700.34199999999998</v>
      </c>
    </row>
    <row r="7" spans="1:17">
      <c r="A7" s="448" t="s">
        <v>111</v>
      </c>
      <c r="B7" s="449">
        <f>landbouw!B8</f>
        <v>131.7311925741449</v>
      </c>
      <c r="C7" s="449">
        <f>landbouw!C8</f>
        <v>0</v>
      </c>
      <c r="D7" s="449">
        <f>landbouw!D8</f>
        <v>294.96127109450998</v>
      </c>
      <c r="E7" s="449">
        <f>landbouw!E8</f>
        <v>1.2409960968427627</v>
      </c>
      <c r="F7" s="449">
        <f>landbouw!F8</f>
        <v>429.88259911281529</v>
      </c>
      <c r="G7" s="449">
        <f>landbouw!G8</f>
        <v>0</v>
      </c>
      <c r="H7" s="449">
        <f>landbouw!H8</f>
        <v>0</v>
      </c>
      <c r="I7" s="449">
        <f>landbouw!I8</f>
        <v>0</v>
      </c>
      <c r="J7" s="449">
        <f>landbouw!J8</f>
        <v>16.295789261819326</v>
      </c>
      <c r="K7" s="449">
        <f>landbouw!K8</f>
        <v>0</v>
      </c>
      <c r="L7" s="449">
        <f>landbouw!L8</f>
        <v>0</v>
      </c>
      <c r="M7" s="449">
        <f>landbouw!M8</f>
        <v>0</v>
      </c>
      <c r="N7" s="449">
        <f>landbouw!N8</f>
        <v>0</v>
      </c>
      <c r="O7" s="449">
        <f>landbouw!O8</f>
        <v>0</v>
      </c>
      <c r="P7" s="450">
        <f>landbouw!P8</f>
        <v>0</v>
      </c>
      <c r="Q7" s="448">
        <f t="shared" si="0"/>
        <v>874.11184814013234</v>
      </c>
    </row>
    <row r="8" spans="1:17">
      <c r="A8" s="448" t="s">
        <v>671</v>
      </c>
      <c r="B8" s="449">
        <f>industrie!B18</f>
        <v>1551.130243720422</v>
      </c>
      <c r="C8" s="449">
        <f>industrie!C18</f>
        <v>0</v>
      </c>
      <c r="D8" s="449">
        <f>industrie!D18</f>
        <v>1326.3804526378374</v>
      </c>
      <c r="E8" s="449">
        <f>industrie!E18</f>
        <v>25.691363759234175</v>
      </c>
      <c r="F8" s="449">
        <f>industrie!F18</f>
        <v>648.00861431375722</v>
      </c>
      <c r="G8" s="449">
        <f>industrie!G18</f>
        <v>0</v>
      </c>
      <c r="H8" s="449">
        <f>industrie!H18</f>
        <v>0</v>
      </c>
      <c r="I8" s="449">
        <f>industrie!I18</f>
        <v>0</v>
      </c>
      <c r="J8" s="449">
        <f>industrie!J18</f>
        <v>6.7343869117435986</v>
      </c>
      <c r="K8" s="449">
        <f>industrie!K18</f>
        <v>0</v>
      </c>
      <c r="L8" s="449">
        <f>industrie!L18</f>
        <v>0</v>
      </c>
      <c r="M8" s="449">
        <f>industrie!M18</f>
        <v>0</v>
      </c>
      <c r="N8" s="449">
        <f>industrie!N18</f>
        <v>73.726179922318209</v>
      </c>
      <c r="O8" s="449">
        <f>industrie!O18</f>
        <v>0</v>
      </c>
      <c r="P8" s="450">
        <f>industrie!P18</f>
        <v>0</v>
      </c>
      <c r="Q8" s="448">
        <f t="shared" si="0"/>
        <v>3631.6712412653128</v>
      </c>
    </row>
    <row r="9" spans="1:17" s="454" customFormat="1">
      <c r="A9" s="452" t="s">
        <v>568</v>
      </c>
      <c r="B9" s="453">
        <f>transport!B14</f>
        <v>9.1026070845649638</v>
      </c>
      <c r="C9" s="453">
        <f>transport!C14</f>
        <v>0</v>
      </c>
      <c r="D9" s="453">
        <f>transport!D14</f>
        <v>11.151500403388129</v>
      </c>
      <c r="E9" s="453">
        <f>transport!E14</f>
        <v>818.87087715826885</v>
      </c>
      <c r="F9" s="453">
        <f>transport!F14</f>
        <v>0</v>
      </c>
      <c r="G9" s="453">
        <f>transport!G14</f>
        <v>155184.90350877243</v>
      </c>
      <c r="H9" s="453">
        <f>transport!H14</f>
        <v>27790.604906138396</v>
      </c>
      <c r="I9" s="453">
        <f>transport!I14</f>
        <v>0</v>
      </c>
      <c r="J9" s="453">
        <f>transport!J14</f>
        <v>0</v>
      </c>
      <c r="K9" s="453">
        <f>transport!K14</f>
        <v>0</v>
      </c>
      <c r="L9" s="453">
        <f>transport!L14</f>
        <v>0</v>
      </c>
      <c r="M9" s="453">
        <f>transport!M14</f>
        <v>8178.0164682067152</v>
      </c>
      <c r="N9" s="453">
        <f>transport!N14</f>
        <v>0</v>
      </c>
      <c r="O9" s="453">
        <f>transport!O14</f>
        <v>0</v>
      </c>
      <c r="P9" s="453">
        <f>transport!P14</f>
        <v>0</v>
      </c>
      <c r="Q9" s="452">
        <f>SUM(B9:P9)</f>
        <v>191992.64986776374</v>
      </c>
    </row>
    <row r="10" spans="1:17">
      <c r="A10" s="448" t="s">
        <v>558</v>
      </c>
      <c r="B10" s="449">
        <f>transport!B54</f>
        <v>5.9936184242625812</v>
      </c>
      <c r="C10" s="449">
        <f>transport!C54</f>
        <v>0</v>
      </c>
      <c r="D10" s="449">
        <f>transport!D54</f>
        <v>0</v>
      </c>
      <c r="E10" s="449">
        <f>transport!E54</f>
        <v>0</v>
      </c>
      <c r="F10" s="449">
        <f>transport!F54</f>
        <v>0</v>
      </c>
      <c r="G10" s="449">
        <f>transport!G54</f>
        <v>1195.4390115295657</v>
      </c>
      <c r="H10" s="449">
        <f>transport!H54</f>
        <v>0</v>
      </c>
      <c r="I10" s="449">
        <f>transport!I54</f>
        <v>0</v>
      </c>
      <c r="J10" s="449">
        <f>transport!J54</f>
        <v>0</v>
      </c>
      <c r="K10" s="449">
        <f>transport!K54</f>
        <v>0</v>
      </c>
      <c r="L10" s="449">
        <f>transport!L54</f>
        <v>0</v>
      </c>
      <c r="M10" s="449">
        <f>transport!M54</f>
        <v>52.837131095589449</v>
      </c>
      <c r="N10" s="449">
        <f>transport!N54</f>
        <v>0</v>
      </c>
      <c r="O10" s="449">
        <f>transport!O54</f>
        <v>0</v>
      </c>
      <c r="P10" s="450">
        <f>transport!P54</f>
        <v>0</v>
      </c>
      <c r="Q10" s="448">
        <f t="shared" si="0"/>
        <v>1254.2697610494179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611.86645703993008</v>
      </c>
      <c r="C14" s="456"/>
      <c r="D14" s="456">
        <f>'SEAP template'!E25</f>
        <v>1556.12588878323</v>
      </c>
      <c r="E14" s="456"/>
      <c r="F14" s="456"/>
      <c r="G14" s="456"/>
      <c r="H14" s="456"/>
      <c r="I14" s="456"/>
      <c r="J14" s="456"/>
      <c r="K14" s="456"/>
      <c r="L14" s="456"/>
      <c r="M14" s="456"/>
      <c r="N14" s="456"/>
      <c r="O14" s="456"/>
      <c r="P14" s="457"/>
      <c r="Q14" s="448">
        <f t="shared" si="0"/>
        <v>2167.9923458231601</v>
      </c>
    </row>
    <row r="15" spans="1:17" s="461" customFormat="1">
      <c r="A15" s="458" t="s">
        <v>562</v>
      </c>
      <c r="B15" s="459">
        <f ca="1">SUM(B4:B14)</f>
        <v>31916.868063813334</v>
      </c>
      <c r="C15" s="459">
        <f t="shared" ref="C15:Q15" ca="1" si="1">SUM(C4:C14)</f>
        <v>0</v>
      </c>
      <c r="D15" s="459">
        <f t="shared" ca="1" si="1"/>
        <v>80466.385249409184</v>
      </c>
      <c r="E15" s="459">
        <f t="shared" si="1"/>
        <v>1727.2698099808313</v>
      </c>
      <c r="F15" s="459">
        <f t="shared" ca="1" si="1"/>
        <v>27835.256439355035</v>
      </c>
      <c r="G15" s="459">
        <f t="shared" si="1"/>
        <v>156380.34252030199</v>
      </c>
      <c r="H15" s="459">
        <f t="shared" si="1"/>
        <v>27790.604906138396</v>
      </c>
      <c r="I15" s="459">
        <f t="shared" si="1"/>
        <v>0</v>
      </c>
      <c r="J15" s="459">
        <f t="shared" si="1"/>
        <v>476.63439873709831</v>
      </c>
      <c r="K15" s="459">
        <f t="shared" si="1"/>
        <v>0</v>
      </c>
      <c r="L15" s="459">
        <f t="shared" ca="1" si="1"/>
        <v>0</v>
      </c>
      <c r="M15" s="459">
        <f t="shared" si="1"/>
        <v>8230.8535993023052</v>
      </c>
      <c r="N15" s="459">
        <f t="shared" ca="1" si="1"/>
        <v>6889.2507276221331</v>
      </c>
      <c r="O15" s="459">
        <f t="shared" si="1"/>
        <v>90.673333333333332</v>
      </c>
      <c r="P15" s="459">
        <f t="shared" si="1"/>
        <v>209.73333333333332</v>
      </c>
      <c r="Q15" s="459">
        <f t="shared" ca="1" si="1"/>
        <v>342013.87238132698</v>
      </c>
    </row>
    <row r="17" spans="1:17">
      <c r="A17" s="462" t="s">
        <v>563</v>
      </c>
      <c r="B17" s="766">
        <f ca="1">huishoudens!B10</f>
        <v>0.21437844939766995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4086.4331047954493</v>
      </c>
      <c r="C22" s="449">
        <f t="shared" ref="C22:C32" ca="1" si="3">C4*$C$17</f>
        <v>0</v>
      </c>
      <c r="D22" s="449">
        <f t="shared" ref="D22:D32" si="4">D4*$D$17</f>
        <v>12274.529334954344</v>
      </c>
      <c r="E22" s="449">
        <f t="shared" ref="E22:E32" si="5">E4*$E$17</f>
        <v>186.13937230080705</v>
      </c>
      <c r="F22" s="449">
        <f t="shared" ref="F22:F32" si="6">F4*$F$17</f>
        <v>6674.8224435677494</v>
      </c>
      <c r="G22" s="449">
        <f t="shared" ref="G22:G32" si="7">G4*$G$17</f>
        <v>0</v>
      </c>
      <c r="H22" s="449">
        <f t="shared" ref="H22:H32" si="8">H4*$H$17</f>
        <v>0</v>
      </c>
      <c r="I22" s="449">
        <f t="shared" ref="I22:I32" si="9">I4*$I$17</f>
        <v>0</v>
      </c>
      <c r="J22" s="449">
        <f t="shared" ref="J22:J32" si="10">J4*$J$17</f>
        <v>160.57589478749151</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23382.500150405845</v>
      </c>
    </row>
    <row r="23" spans="1:17">
      <c r="A23" s="448" t="s">
        <v>155</v>
      </c>
      <c r="B23" s="449">
        <f t="shared" ca="1" si="2"/>
        <v>2110.5408353678313</v>
      </c>
      <c r="C23" s="449">
        <f t="shared" ca="1" si="3"/>
        <v>0</v>
      </c>
      <c r="D23" s="449">
        <f t="shared" ca="1" si="4"/>
        <v>3335.5794246166784</v>
      </c>
      <c r="E23" s="449">
        <f t="shared" si="5"/>
        <v>13.953539762585164</v>
      </c>
      <c r="F23" s="449">
        <f t="shared" ca="1" si="6"/>
        <v>469.39407175515174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5929.4678715022455</v>
      </c>
    </row>
    <row r="24" spans="1:17">
      <c r="A24" s="448" t="s">
        <v>193</v>
      </c>
      <c r="B24" s="449">
        <f t="shared" ca="1" si="2"/>
        <v>150.13823200806297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150.13823200806297</v>
      </c>
    </row>
    <row r="25" spans="1:17">
      <c r="A25" s="448" t="s">
        <v>111</v>
      </c>
      <c r="B25" s="449">
        <f t="shared" ca="1" si="2"/>
        <v>28.240328801351037</v>
      </c>
      <c r="C25" s="449">
        <f t="shared" ca="1" si="3"/>
        <v>0</v>
      </c>
      <c r="D25" s="449">
        <f t="shared" si="4"/>
        <v>59.58217676109102</v>
      </c>
      <c r="E25" s="449">
        <f t="shared" si="5"/>
        <v>0.28170611398330714</v>
      </c>
      <c r="F25" s="449">
        <f t="shared" si="6"/>
        <v>114.77865396312168</v>
      </c>
      <c r="G25" s="449">
        <f t="shared" si="7"/>
        <v>0</v>
      </c>
      <c r="H25" s="449">
        <f t="shared" si="8"/>
        <v>0</v>
      </c>
      <c r="I25" s="449">
        <f t="shared" si="9"/>
        <v>0</v>
      </c>
      <c r="J25" s="449">
        <f t="shared" si="10"/>
        <v>5.7687093986840416</v>
      </c>
      <c r="K25" s="449">
        <f t="shared" si="11"/>
        <v>0</v>
      </c>
      <c r="L25" s="449">
        <f t="shared" si="12"/>
        <v>0</v>
      </c>
      <c r="M25" s="449">
        <f t="shared" si="13"/>
        <v>0</v>
      </c>
      <c r="N25" s="449">
        <f t="shared" si="14"/>
        <v>0</v>
      </c>
      <c r="O25" s="449">
        <f t="shared" si="15"/>
        <v>0</v>
      </c>
      <c r="P25" s="450">
        <f t="shared" si="16"/>
        <v>0</v>
      </c>
      <c r="Q25" s="448">
        <f t="shared" ca="1" si="17"/>
        <v>208.6515750382311</v>
      </c>
    </row>
    <row r="26" spans="1:17">
      <c r="A26" s="448" t="s">
        <v>671</v>
      </c>
      <c r="B26" s="449">
        <f t="shared" ca="1" si="2"/>
        <v>332.52889646261394</v>
      </c>
      <c r="C26" s="449">
        <f t="shared" ca="1" si="3"/>
        <v>0</v>
      </c>
      <c r="D26" s="449">
        <f t="shared" si="4"/>
        <v>267.92885143284315</v>
      </c>
      <c r="E26" s="449">
        <f t="shared" si="5"/>
        <v>5.8319395733461583</v>
      </c>
      <c r="F26" s="449">
        <f t="shared" si="6"/>
        <v>173.0183000217732</v>
      </c>
      <c r="G26" s="449">
        <f t="shared" si="7"/>
        <v>0</v>
      </c>
      <c r="H26" s="449">
        <f t="shared" si="8"/>
        <v>0</v>
      </c>
      <c r="I26" s="449">
        <f t="shared" si="9"/>
        <v>0</v>
      </c>
      <c r="J26" s="449">
        <f t="shared" si="10"/>
        <v>2.3839729667572338</v>
      </c>
      <c r="K26" s="449">
        <f t="shared" si="11"/>
        <v>0</v>
      </c>
      <c r="L26" s="449">
        <f t="shared" si="12"/>
        <v>0</v>
      </c>
      <c r="M26" s="449">
        <f t="shared" si="13"/>
        <v>0</v>
      </c>
      <c r="N26" s="449">
        <f t="shared" si="14"/>
        <v>0</v>
      </c>
      <c r="O26" s="449">
        <f t="shared" si="15"/>
        <v>0</v>
      </c>
      <c r="P26" s="450">
        <f t="shared" si="16"/>
        <v>0</v>
      </c>
      <c r="Q26" s="448">
        <f t="shared" ca="1" si="17"/>
        <v>781.69196045733361</v>
      </c>
    </row>
    <row r="27" spans="1:17" s="454" customFormat="1">
      <c r="A27" s="452" t="s">
        <v>568</v>
      </c>
      <c r="B27" s="760">
        <f t="shared" ca="1" si="2"/>
        <v>1.9514027922652821</v>
      </c>
      <c r="C27" s="453">
        <f t="shared" ca="1" si="3"/>
        <v>0</v>
      </c>
      <c r="D27" s="453">
        <f t="shared" si="4"/>
        <v>2.252603081484402</v>
      </c>
      <c r="E27" s="453">
        <f t="shared" si="5"/>
        <v>185.88368911492702</v>
      </c>
      <c r="F27" s="453">
        <f t="shared" si="6"/>
        <v>0</v>
      </c>
      <c r="G27" s="453">
        <f t="shared" si="7"/>
        <v>41434.369236842242</v>
      </c>
      <c r="H27" s="453">
        <f t="shared" si="8"/>
        <v>6919.8606216284606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48544.317553459376</v>
      </c>
    </row>
    <row r="28" spans="1:17">
      <c r="A28" s="448" t="s">
        <v>558</v>
      </c>
      <c r="B28" s="449">
        <f t="shared" ca="1" si="2"/>
        <v>1.2849026240747181</v>
      </c>
      <c r="C28" s="449">
        <f t="shared" ca="1" si="3"/>
        <v>0</v>
      </c>
      <c r="D28" s="449">
        <f t="shared" si="4"/>
        <v>0</v>
      </c>
      <c r="E28" s="449">
        <f t="shared" si="5"/>
        <v>0</v>
      </c>
      <c r="F28" s="449">
        <f t="shared" si="6"/>
        <v>0</v>
      </c>
      <c r="G28" s="449">
        <f t="shared" si="7"/>
        <v>319.18221607839405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320.46711870246878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131.17098229866625</v>
      </c>
      <c r="C32" s="449">
        <f t="shared" ca="1" si="3"/>
        <v>0</v>
      </c>
      <c r="D32" s="449">
        <f t="shared" si="4"/>
        <v>314.3374295342125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445.50841183287878</v>
      </c>
    </row>
    <row r="33" spans="1:17" s="461" customFormat="1">
      <c r="A33" s="458" t="s">
        <v>562</v>
      </c>
      <c r="B33" s="459">
        <f ca="1">SUM(B22:B32)</f>
        <v>6842.2886851503144</v>
      </c>
      <c r="C33" s="459">
        <f t="shared" ref="C33:Q33" ca="1" si="18">SUM(C22:C32)</f>
        <v>0</v>
      </c>
      <c r="D33" s="459">
        <f t="shared" ca="1" si="18"/>
        <v>16254.209820380654</v>
      </c>
      <c r="E33" s="459">
        <f t="shared" si="18"/>
        <v>392.09024686564874</v>
      </c>
      <c r="F33" s="459">
        <f t="shared" ca="1" si="18"/>
        <v>7432.0134693077953</v>
      </c>
      <c r="G33" s="459">
        <f t="shared" si="18"/>
        <v>41753.551452920634</v>
      </c>
      <c r="H33" s="459">
        <f t="shared" si="18"/>
        <v>6919.8606216284606</v>
      </c>
      <c r="I33" s="459">
        <f t="shared" si="18"/>
        <v>0</v>
      </c>
      <c r="J33" s="459">
        <f t="shared" si="18"/>
        <v>168.72857715293279</v>
      </c>
      <c r="K33" s="459">
        <f t="shared" si="18"/>
        <v>0</v>
      </c>
      <c r="L33" s="459">
        <f t="shared" ca="1" si="18"/>
        <v>0</v>
      </c>
      <c r="M33" s="459">
        <f t="shared" si="18"/>
        <v>0</v>
      </c>
      <c r="N33" s="459">
        <f t="shared" ca="1" si="18"/>
        <v>0</v>
      </c>
      <c r="O33" s="459">
        <f t="shared" si="18"/>
        <v>0</v>
      </c>
      <c r="P33" s="459">
        <f t="shared" si="18"/>
        <v>0</v>
      </c>
      <c r="Q33" s="459">
        <f t="shared" ca="1" si="18"/>
        <v>79762.742873406445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956.28577806530768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956.28577806530768</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0.21437844939766995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0.21437844939766995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0.21437844939766995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0.21437844939766995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4199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90</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33</v>
      </c>
      <c r="C17" s="327"/>
      <c r="D17" s="327"/>
      <c r="E17" s="327"/>
      <c r="F17" s="327"/>
    </row>
    <row r="18" spans="1:6">
      <c r="A18" s="1295" t="s">
        <v>8</v>
      </c>
      <c r="B18" s="1296">
        <v>34</v>
      </c>
      <c r="C18" s="327"/>
      <c r="D18" s="327"/>
      <c r="E18" s="327"/>
      <c r="F18" s="327"/>
    </row>
    <row r="19" spans="1:6">
      <c r="A19" s="1295" t="s">
        <v>9</v>
      </c>
      <c r="B19" s="1296">
        <v>26</v>
      </c>
      <c r="C19" s="327"/>
      <c r="D19" s="327"/>
      <c r="E19" s="327"/>
      <c r="F19" s="327"/>
    </row>
    <row r="20" spans="1:6">
      <c r="A20" s="1295" t="s">
        <v>10</v>
      </c>
      <c r="B20" s="1296">
        <v>17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192</v>
      </c>
      <c r="C29" s="333"/>
      <c r="D29" s="333"/>
      <c r="E29" s="333"/>
      <c r="F29" s="333"/>
    </row>
    <row r="30" spans="1:6">
      <c r="A30" s="1290" t="s">
        <v>962</v>
      </c>
      <c r="B30" s="1299">
        <v>15</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3</v>
      </c>
      <c r="F36" s="1296">
        <v>6602</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2751</v>
      </c>
      <c r="D39" s="1296">
        <v>67366958.6559809</v>
      </c>
      <c r="E39" s="1296">
        <v>4123</v>
      </c>
      <c r="F39" s="1296">
        <v>18097110.127753299</v>
      </c>
    </row>
    <row r="40" spans="1:6">
      <c r="A40" s="1295" t="s">
        <v>29</v>
      </c>
      <c r="B40" s="1295" t="s">
        <v>28</v>
      </c>
      <c r="C40" s="1296">
        <v>0</v>
      </c>
      <c r="D40" s="1296">
        <v>0</v>
      </c>
      <c r="E40" s="1296">
        <v>1</v>
      </c>
      <c r="F40" s="1296">
        <v>8376.0039835555999</v>
      </c>
    </row>
    <row r="41" spans="1:6">
      <c r="A41" s="1295" t="s">
        <v>31</v>
      </c>
      <c r="B41" s="1295" t="s">
        <v>32</v>
      </c>
      <c r="C41" s="1296">
        <v>11</v>
      </c>
      <c r="D41" s="1296">
        <v>389793.36867262202</v>
      </c>
      <c r="E41" s="1296">
        <v>51</v>
      </c>
      <c r="F41" s="1296">
        <v>490596.78050160297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6</v>
      </c>
      <c r="F44" s="1296">
        <v>58474.850399884002</v>
      </c>
    </row>
    <row r="45" spans="1:6">
      <c r="A45" s="1295" t="s">
        <v>31</v>
      </c>
      <c r="B45" s="1295" t="s">
        <v>36</v>
      </c>
      <c r="C45" s="1296">
        <v>0</v>
      </c>
      <c r="D45" s="1296">
        <v>0</v>
      </c>
      <c r="E45" s="1296">
        <v>4</v>
      </c>
      <c r="F45" s="1296">
        <v>691909.64944017003</v>
      </c>
    </row>
    <row r="46" spans="1:6">
      <c r="A46" s="1295" t="s">
        <v>31</v>
      </c>
      <c r="B46" s="1295" t="s">
        <v>37</v>
      </c>
      <c r="C46" s="1296">
        <v>0</v>
      </c>
      <c r="D46" s="1296">
        <v>0</v>
      </c>
      <c r="E46" s="1296">
        <v>0</v>
      </c>
      <c r="F46" s="1296">
        <v>0</v>
      </c>
    </row>
    <row r="47" spans="1:6">
      <c r="A47" s="1295" t="s">
        <v>31</v>
      </c>
      <c r="B47" s="1295" t="s">
        <v>38</v>
      </c>
      <c r="C47" s="1296">
        <v>3</v>
      </c>
      <c r="D47" s="1296">
        <v>199249.454812966</v>
      </c>
      <c r="E47" s="1296">
        <v>3</v>
      </c>
      <c r="F47" s="1296">
        <v>79562</v>
      </c>
    </row>
    <row r="48" spans="1:6">
      <c r="A48" s="1295" t="s">
        <v>31</v>
      </c>
      <c r="B48" s="1295" t="s">
        <v>28</v>
      </c>
      <c r="C48" s="1296">
        <v>22</v>
      </c>
      <c r="D48" s="1296">
        <v>881445.48320824502</v>
      </c>
      <c r="E48" s="1296">
        <v>21</v>
      </c>
      <c r="F48" s="1296">
        <v>230586.96337876501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9</v>
      </c>
      <c r="D51" s="1296">
        <v>200243.46463892399</v>
      </c>
      <c r="E51" s="1296">
        <v>26</v>
      </c>
      <c r="F51" s="1296">
        <v>75322.235992155998</v>
      </c>
    </row>
    <row r="52" spans="1:6">
      <c r="A52" s="1295" t="s">
        <v>41</v>
      </c>
      <c r="B52" s="1295" t="s">
        <v>28</v>
      </c>
      <c r="C52" s="1296">
        <v>5</v>
      </c>
      <c r="D52" s="1296">
        <v>126764.596441464</v>
      </c>
      <c r="E52" s="1296">
        <v>8</v>
      </c>
      <c r="F52" s="1296">
        <v>56408.956581988903</v>
      </c>
    </row>
    <row r="53" spans="1:6">
      <c r="A53" s="1295" t="s">
        <v>43</v>
      </c>
      <c r="B53" s="1295" t="s">
        <v>44</v>
      </c>
      <c r="C53" s="1296">
        <v>45</v>
      </c>
      <c r="D53" s="1296">
        <v>1556125.88878323</v>
      </c>
      <c r="E53" s="1296">
        <v>102</v>
      </c>
      <c r="F53" s="1296">
        <v>611866.45703993004</v>
      </c>
    </row>
    <row r="54" spans="1:6">
      <c r="A54" s="1295" t="s">
        <v>45</v>
      </c>
      <c r="B54" s="1295" t="s">
        <v>46</v>
      </c>
      <c r="C54" s="1296">
        <v>0</v>
      </c>
      <c r="D54" s="1296">
        <v>0</v>
      </c>
      <c r="E54" s="1296">
        <v>1</v>
      </c>
      <c r="F54" s="1296">
        <v>700342</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16</v>
      </c>
      <c r="D57" s="1296">
        <v>955682.530129174</v>
      </c>
      <c r="E57" s="1296">
        <v>71</v>
      </c>
      <c r="F57" s="1296">
        <v>1306181.53096749</v>
      </c>
    </row>
    <row r="58" spans="1:6">
      <c r="A58" s="1295" t="s">
        <v>48</v>
      </c>
      <c r="B58" s="1295" t="s">
        <v>50</v>
      </c>
      <c r="C58" s="1296">
        <v>6</v>
      </c>
      <c r="D58" s="1296">
        <v>160301.03166943599</v>
      </c>
      <c r="E58" s="1296">
        <v>10</v>
      </c>
      <c r="F58" s="1296">
        <v>88913.933256479795</v>
      </c>
    </row>
    <row r="59" spans="1:6">
      <c r="A59" s="1295" t="s">
        <v>48</v>
      </c>
      <c r="B59" s="1295" t="s">
        <v>51</v>
      </c>
      <c r="C59" s="1296">
        <v>28</v>
      </c>
      <c r="D59" s="1296">
        <v>1525397.6347538</v>
      </c>
      <c r="E59" s="1296">
        <v>74</v>
      </c>
      <c r="F59" s="1296">
        <v>1832338.42400348</v>
      </c>
    </row>
    <row r="60" spans="1:6">
      <c r="A60" s="1295" t="s">
        <v>48</v>
      </c>
      <c r="B60" s="1295" t="s">
        <v>52</v>
      </c>
      <c r="C60" s="1296">
        <v>20</v>
      </c>
      <c r="D60" s="1296">
        <v>918753.53846661397</v>
      </c>
      <c r="E60" s="1296">
        <v>24</v>
      </c>
      <c r="F60" s="1296">
        <v>433270.11039835698</v>
      </c>
    </row>
    <row r="61" spans="1:6">
      <c r="A61" s="1295" t="s">
        <v>48</v>
      </c>
      <c r="B61" s="1295" t="s">
        <v>53</v>
      </c>
      <c r="C61" s="1296">
        <v>140</v>
      </c>
      <c r="D61" s="1296">
        <v>11594848.6186707</v>
      </c>
      <c r="E61" s="1296">
        <v>241</v>
      </c>
      <c r="F61" s="1296">
        <v>4814910.8331897799</v>
      </c>
    </row>
    <row r="62" spans="1:6">
      <c r="A62" s="1295" t="s">
        <v>48</v>
      </c>
      <c r="B62" s="1295" t="s">
        <v>54</v>
      </c>
      <c r="C62" s="1296">
        <v>5</v>
      </c>
      <c r="D62" s="1296">
        <v>482264.86974333902</v>
      </c>
      <c r="E62" s="1296">
        <v>6</v>
      </c>
      <c r="F62" s="1296">
        <v>173130.03390133</v>
      </c>
    </row>
    <row r="63" spans="1:6">
      <c r="A63" s="1295" t="s">
        <v>48</v>
      </c>
      <c r="B63" s="1295" t="s">
        <v>28</v>
      </c>
      <c r="C63" s="1296">
        <v>72</v>
      </c>
      <c r="D63" s="1296">
        <v>2669591.4980696398</v>
      </c>
      <c r="E63" s="1296">
        <v>95</v>
      </c>
      <c r="F63" s="1296">
        <v>1196185.1694509301</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3530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149998.92983461701</v>
      </c>
      <c r="E68" s="1299">
        <v>6</v>
      </c>
      <c r="F68" s="1299">
        <v>39188.555335107398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26281311</v>
      </c>
      <c r="E73" s="447"/>
      <c r="F73" s="327"/>
    </row>
    <row r="74" spans="1:6">
      <c r="A74" s="1295" t="s">
        <v>63</v>
      </c>
      <c r="B74" s="1295" t="s">
        <v>755</v>
      </c>
      <c r="C74" s="1309" t="s">
        <v>749</v>
      </c>
      <c r="D74" s="1310">
        <v>1078936.7677463326</v>
      </c>
      <c r="E74" s="447"/>
      <c r="F74" s="327"/>
    </row>
    <row r="75" spans="1:6">
      <c r="A75" s="1295" t="s">
        <v>64</v>
      </c>
      <c r="B75" s="1295" t="s">
        <v>754</v>
      </c>
      <c r="C75" s="1309" t="s">
        <v>750</v>
      </c>
      <c r="D75" s="1310">
        <v>37159860</v>
      </c>
      <c r="E75" s="447"/>
      <c r="F75" s="327"/>
    </row>
    <row r="76" spans="1:6">
      <c r="A76" s="1295" t="s">
        <v>64</v>
      </c>
      <c r="B76" s="1295" t="s">
        <v>755</v>
      </c>
      <c r="C76" s="1309" t="s">
        <v>751</v>
      </c>
      <c r="D76" s="1310">
        <v>1060884.7677463326</v>
      </c>
      <c r="E76" s="447"/>
      <c r="F76" s="327"/>
    </row>
    <row r="77" spans="1:6">
      <c r="A77" s="1295" t="s">
        <v>65</v>
      </c>
      <c r="B77" s="1295" t="s">
        <v>754</v>
      </c>
      <c r="C77" s="1309" t="s">
        <v>752</v>
      </c>
      <c r="D77" s="1310">
        <v>157923088</v>
      </c>
      <c r="E77" s="447"/>
      <c r="F77" s="327"/>
    </row>
    <row r="78" spans="1:6">
      <c r="A78" s="1290" t="s">
        <v>65</v>
      </c>
      <c r="B78" s="1290" t="s">
        <v>755</v>
      </c>
      <c r="C78" s="1290" t="s">
        <v>753</v>
      </c>
      <c r="D78" s="1311">
        <v>11218525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330206.46450733463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956.28577806530768</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1825</v>
      </c>
      <c r="C97" s="327"/>
      <c r="D97" s="327"/>
      <c r="E97" s="327"/>
      <c r="F97" s="327"/>
    </row>
    <row r="98" spans="1:6">
      <c r="A98" s="1295" t="s">
        <v>71</v>
      </c>
      <c r="B98" s="1296">
        <v>3</v>
      </c>
      <c r="C98" s="327"/>
      <c r="D98" s="327"/>
      <c r="E98" s="327"/>
      <c r="F98" s="327"/>
    </row>
    <row r="99" spans="1:6">
      <c r="A99" s="1295" t="s">
        <v>72</v>
      </c>
      <c r="B99" s="1296">
        <v>27</v>
      </c>
      <c r="C99" s="327"/>
      <c r="D99" s="327"/>
      <c r="E99" s="327"/>
      <c r="F99" s="327"/>
    </row>
    <row r="100" spans="1:6">
      <c r="A100" s="1295" t="s">
        <v>73</v>
      </c>
      <c r="B100" s="1296">
        <v>215</v>
      </c>
      <c r="C100" s="327"/>
      <c r="D100" s="327"/>
      <c r="E100" s="327"/>
      <c r="F100" s="327"/>
    </row>
    <row r="101" spans="1:6">
      <c r="A101" s="1295" t="s">
        <v>74</v>
      </c>
      <c r="B101" s="1296">
        <v>32</v>
      </c>
      <c r="C101" s="327"/>
      <c r="D101" s="327"/>
      <c r="E101" s="327"/>
      <c r="F101" s="327"/>
    </row>
    <row r="102" spans="1:6">
      <c r="A102" s="1295" t="s">
        <v>75</v>
      </c>
      <c r="B102" s="1296">
        <v>57</v>
      </c>
      <c r="C102" s="327"/>
      <c r="D102" s="327"/>
      <c r="E102" s="327"/>
      <c r="F102" s="327"/>
    </row>
    <row r="103" spans="1:6">
      <c r="A103" s="1295" t="s">
        <v>76</v>
      </c>
      <c r="B103" s="1296">
        <v>75</v>
      </c>
      <c r="C103" s="327"/>
      <c r="D103" s="327"/>
      <c r="E103" s="327"/>
      <c r="F103" s="327"/>
    </row>
    <row r="104" spans="1:6">
      <c r="A104" s="1295" t="s">
        <v>77</v>
      </c>
      <c r="B104" s="1296">
        <v>1529</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11</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46</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31916.868063813334</v>
      </c>
      <c r="C3" s="44" t="s">
        <v>169</v>
      </c>
      <c r="D3" s="44"/>
      <c r="E3" s="157"/>
      <c r="F3" s="44"/>
      <c r="G3" s="44"/>
      <c r="H3" s="44"/>
      <c r="I3" s="44"/>
      <c r="J3" s="44"/>
      <c r="K3" s="97"/>
    </row>
    <row r="4" spans="1:11">
      <c r="A4" s="354" t="s">
        <v>170</v>
      </c>
      <c r="B4" s="50">
        <f>IF(ISERROR('SEAP template'!B78+'SEAP template'!C78),0,'SEAP template'!B78+'SEAP template'!C78)</f>
        <v>956.28577806530768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0.21437844939766995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700.34199999999998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700.34199999999998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0.21437844939766995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150.13823200806297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18105.486131736856</v>
      </c>
      <c r="C5" s="18">
        <f>IF(ISERROR('Eigen informatie GS &amp; warmtenet'!B57),0,'Eigen informatie GS &amp; warmtenet'!B57)</f>
        <v>0</v>
      </c>
      <c r="D5" s="31">
        <f>(SUM(HH_hh_gas_kWh,HH_rest_gas_kWh)/1000)*0.902</f>
        <v>60764.996707694772</v>
      </c>
      <c r="E5" s="18">
        <f>B32*B41</f>
        <v>819.99723480531736</v>
      </c>
      <c r="F5" s="18">
        <f>B36*B45</f>
        <v>24999.334994635763</v>
      </c>
      <c r="G5" s="19"/>
      <c r="H5" s="18"/>
      <c r="I5" s="18"/>
      <c r="J5" s="18">
        <f>B35*B44+C35*C44</f>
        <v>453.60422256353536</v>
      </c>
      <c r="K5" s="18"/>
      <c r="L5" s="18"/>
      <c r="M5" s="18"/>
      <c r="N5" s="18">
        <f>B34*B43+C34*C43</f>
        <v>5971.8934742674319</v>
      </c>
      <c r="O5" s="18">
        <f>B52*B53*B54</f>
        <v>89.11</v>
      </c>
      <c r="P5" s="18">
        <f>B60*B61*B62/1000-B60*B61*B62/1000/B63</f>
        <v>171.6</v>
      </c>
    </row>
    <row r="6" spans="1:16">
      <c r="A6" s="17" t="s">
        <v>628</v>
      </c>
      <c r="B6" s="768">
        <f>kWh_PV_kleiner_dan_10kW</f>
        <v>956.28577806530768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19061.771909802163</v>
      </c>
      <c r="C8" s="22">
        <f>C5</f>
        <v>0</v>
      </c>
      <c r="D8" s="22">
        <f>D5</f>
        <v>60764.996707694772</v>
      </c>
      <c r="E8" s="22">
        <f>E5</f>
        <v>819.99723480531736</v>
      </c>
      <c r="F8" s="22">
        <f>F5</f>
        <v>24999.334994635763</v>
      </c>
      <c r="G8" s="22"/>
      <c r="H8" s="22"/>
      <c r="I8" s="22"/>
      <c r="J8" s="22">
        <f>J5</f>
        <v>453.60422256353536</v>
      </c>
      <c r="K8" s="22"/>
      <c r="L8" s="22">
        <f>L5</f>
        <v>0</v>
      </c>
      <c r="M8" s="22">
        <f>M5</f>
        <v>0</v>
      </c>
      <c r="N8" s="22">
        <f>N5</f>
        <v>5971.8934742674319</v>
      </c>
      <c r="O8" s="22">
        <f>O5</f>
        <v>89.11</v>
      </c>
      <c r="P8" s="22">
        <f>P5</f>
        <v>171.6</v>
      </c>
    </row>
    <row r="9" spans="1:16">
      <c r="B9" s="20"/>
      <c r="C9" s="20"/>
      <c r="D9" s="258"/>
      <c r="E9" s="20"/>
      <c r="F9" s="20"/>
      <c r="G9" s="20"/>
      <c r="H9" s="20"/>
      <c r="I9" s="20"/>
      <c r="J9" s="20"/>
      <c r="K9" s="20"/>
      <c r="L9" s="20"/>
      <c r="M9" s="20"/>
      <c r="N9" s="20"/>
      <c r="O9" s="20"/>
      <c r="P9" s="20"/>
    </row>
    <row r="10" spans="1:16">
      <c r="A10" s="25" t="s">
        <v>213</v>
      </c>
      <c r="B10" s="26">
        <f ca="1">'EF ele_warmte'!B12</f>
        <v>0.21437844939766995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4086.4331047954493</v>
      </c>
      <c r="C12" s="24">
        <f ca="1">C10*C8</f>
        <v>0</v>
      </c>
      <c r="D12" s="24">
        <f>D8*D10</f>
        <v>12274.529334954344</v>
      </c>
      <c r="E12" s="24">
        <f>E10*E8</f>
        <v>186.13937230080705</v>
      </c>
      <c r="F12" s="24">
        <f>F10*F8</f>
        <v>6674.8224435677494</v>
      </c>
      <c r="G12" s="24"/>
      <c r="H12" s="24"/>
      <c r="I12" s="24"/>
      <c r="J12" s="24">
        <f>J10*J8</f>
        <v>160.57589478749151</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4199</v>
      </c>
      <c r="C26" s="37"/>
      <c r="D26" s="228"/>
    </row>
    <row r="27" spans="1:5" s="16" customFormat="1">
      <c r="A27" s="230" t="s">
        <v>654</v>
      </c>
      <c r="B27" s="38">
        <f>SUM(HH_hh_gas_aantal,HH_rest_gas_aantal)</f>
        <v>2751</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2613.4499999999998</v>
      </c>
      <c r="C31" s="35" t="s">
        <v>110</v>
      </c>
      <c r="D31" s="174"/>
    </row>
    <row r="32" spans="1:5">
      <c r="A32" s="171" t="s">
        <v>72</v>
      </c>
      <c r="B32" s="34">
        <f>IF((B21*($B$26-($B$27-0.05*$B$27)-$B$60))&lt;0,0,B21*($B$26-($B$27-0.05*$B$27)-$B$60))</f>
        <v>38.744237407561755</v>
      </c>
      <c r="C32" s="35" t="s">
        <v>110</v>
      </c>
      <c r="D32" s="174"/>
    </row>
    <row r="33" spans="1:6">
      <c r="A33" s="171" t="s">
        <v>73</v>
      </c>
      <c r="B33" s="34">
        <f>IF((B22*($B$26-($B$27-0.05*$B$27)-$B$60))&lt;0,0,B22*($B$26-($B$27-0.05*$B$27)-$B$60))</f>
        <v>260.79415852515882</v>
      </c>
      <c r="C33" s="35" t="s">
        <v>110</v>
      </c>
      <c r="D33" s="174"/>
    </row>
    <row r="34" spans="1:6">
      <c r="A34" s="171" t="s">
        <v>74</v>
      </c>
      <c r="B34" s="34">
        <f>IF((B24*($B$26-($B$27-0.05*$B$27)-$B$60))&lt;0,0,B24*($B$26-($B$27-0.05*$B$27)-$B$60))</f>
        <v>66.142895644752798</v>
      </c>
      <c r="C34" s="34">
        <f>B26*C24</f>
        <v>858.70527388243443</v>
      </c>
      <c r="D34" s="233"/>
    </row>
    <row r="35" spans="1:6">
      <c r="A35" s="171" t="s">
        <v>76</v>
      </c>
      <c r="B35" s="34">
        <f>IF((B19*($B$26-($B$27-0.05*$B$27)-$B$60))&lt;0,0,B19*($B$26-($B$27-0.05*$B$27)-$B$60))</f>
        <v>24.589835449305404</v>
      </c>
      <c r="C35" s="34">
        <f>B35/2</f>
        <v>12.294917724652702</v>
      </c>
      <c r="D35" s="233"/>
    </row>
    <row r="36" spans="1:6">
      <c r="A36" s="171" t="s">
        <v>77</v>
      </c>
      <c r="B36" s="34">
        <f>IF((B18*($B$26-($B$27-0.05*$B$27)-$B$60))&lt;0,0,B18*($B$26-($B$27-0.05*$B$27)-$B$60))</f>
        <v>1186.278872973221</v>
      </c>
      <c r="C36" s="35" t="s">
        <v>110</v>
      </c>
      <c r="D36" s="174"/>
    </row>
    <row r="37" spans="1:6">
      <c r="A37" s="171" t="s">
        <v>78</v>
      </c>
      <c r="B37" s="34">
        <f>B60</f>
        <v>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9844.9300351678467</v>
      </c>
      <c r="C5" s="18">
        <f>IF(ISERROR('Eigen informatie GS &amp; warmtenet'!B58),0,'Eigen informatie GS &amp; warmtenet'!B58)</f>
        <v>0</v>
      </c>
      <c r="D5" s="31">
        <f>SUM(D6:D12)</f>
        <v>16512.769428795436</v>
      </c>
      <c r="E5" s="18">
        <f>SUM(E6:E12)</f>
        <v>61.469338161168125</v>
      </c>
      <c r="F5" s="18">
        <f>SUM(F6:F12)</f>
        <v>1758.0302312927031</v>
      </c>
      <c r="G5" s="19"/>
      <c r="H5" s="18"/>
      <c r="I5" s="18"/>
      <c r="J5" s="18">
        <f>SUM(J6:J12)</f>
        <v>0</v>
      </c>
      <c r="K5" s="18"/>
      <c r="L5" s="18"/>
      <c r="M5" s="18"/>
      <c r="N5" s="18">
        <f>SUM(N6:N12)</f>
        <v>843.6310734323838</v>
      </c>
      <c r="O5" s="18">
        <f>B38*B39*B40</f>
        <v>1.5633333333333335</v>
      </c>
      <c r="P5" s="18">
        <f>B46*B47*B48/1000-B46*B47*B48/1000/B49</f>
        <v>38.133333333333333</v>
      </c>
      <c r="R5" s="33"/>
    </row>
    <row r="6" spans="1:18">
      <c r="A6" s="33" t="s">
        <v>53</v>
      </c>
      <c r="B6" s="38">
        <f>B26</f>
        <v>4814.9108331897796</v>
      </c>
      <c r="C6" s="34"/>
      <c r="D6" s="38">
        <f>IF(ISERROR(TER_kantoor_gas_kWh/1000),0,TER_kantoor_gas_kWh/1000)*0.902</f>
        <v>10458.553454040972</v>
      </c>
      <c r="E6" s="34">
        <f>$C$26*'E Balans VL '!I12/100/3.6*1000000</f>
        <v>7.9022445434053044</v>
      </c>
      <c r="F6" s="34">
        <f>$C$26*('E Balans VL '!L12+'E Balans VL '!N12)/100/3.6*1000000</f>
        <v>567.56469853326121</v>
      </c>
      <c r="G6" s="35"/>
      <c r="H6" s="34"/>
      <c r="I6" s="34"/>
      <c r="J6" s="34">
        <f>$C$26*('E Balans VL '!D12+'E Balans VL '!E12)/100/3.6*1000000</f>
        <v>0</v>
      </c>
      <c r="K6" s="34"/>
      <c r="L6" s="34"/>
      <c r="M6" s="34"/>
      <c r="N6" s="34">
        <f>$C$26*'E Balans VL '!Y12/100/3.6*1000000</f>
        <v>0.97282993337658474</v>
      </c>
      <c r="O6" s="34"/>
      <c r="P6" s="34"/>
      <c r="R6" s="33"/>
    </row>
    <row r="7" spans="1:18">
      <c r="A7" s="33" t="s">
        <v>52</v>
      </c>
      <c r="B7" s="38">
        <f t="shared" ref="B7:B12" si="0">B27</f>
        <v>433.27011039835696</v>
      </c>
      <c r="C7" s="34"/>
      <c r="D7" s="38">
        <f>IF(ISERROR(TER_horeca_gas_kWh/1000),0,TER_horeca_gas_kWh/1000)*0.902</f>
        <v>828.71569169688576</v>
      </c>
      <c r="E7" s="34">
        <f>$C$27*'E Balans VL '!I9/100/3.6*1000000</f>
        <v>22.483583520064908</v>
      </c>
      <c r="F7" s="34">
        <f>$C$27*('E Balans VL '!L9+'E Balans VL '!N9)/100/3.6*1000000</f>
        <v>98.872553575255324</v>
      </c>
      <c r="G7" s="35"/>
      <c r="H7" s="34"/>
      <c r="I7" s="34"/>
      <c r="J7" s="34">
        <f>$C$27*('E Balans VL '!D9+'E Balans VL '!E9)/100/3.6*1000000</f>
        <v>0</v>
      </c>
      <c r="K7" s="34"/>
      <c r="L7" s="34"/>
      <c r="M7" s="34"/>
      <c r="N7" s="34">
        <f>$C$27*'E Balans VL '!Y9/100/3.6*1000000</f>
        <v>4.5753125103375994E-2</v>
      </c>
      <c r="O7" s="34"/>
      <c r="P7" s="34"/>
      <c r="R7" s="33"/>
    </row>
    <row r="8" spans="1:18">
      <c r="A8" s="6" t="s">
        <v>51</v>
      </c>
      <c r="B8" s="38">
        <f t="shared" si="0"/>
        <v>1832.33842400348</v>
      </c>
      <c r="C8" s="34"/>
      <c r="D8" s="38">
        <f>IF(ISERROR(TER_handel_gas_kWh/1000),0,TER_handel_gas_kWh/1000)*0.902</f>
        <v>1375.9086665479276</v>
      </c>
      <c r="E8" s="34">
        <f>$C$28*'E Balans VL '!I13/100/3.6*1000000</f>
        <v>9.8673675777242735</v>
      </c>
      <c r="F8" s="34">
        <f>$C$28*('E Balans VL '!L13+'E Balans VL '!N13)/100/3.6*1000000</f>
        <v>373.6682568479381</v>
      </c>
      <c r="G8" s="35"/>
      <c r="H8" s="34"/>
      <c r="I8" s="34"/>
      <c r="J8" s="34">
        <f>$C$28*('E Balans VL '!D13+'E Balans VL '!E13)/100/3.6*1000000</f>
        <v>0</v>
      </c>
      <c r="K8" s="34"/>
      <c r="L8" s="34"/>
      <c r="M8" s="34"/>
      <c r="N8" s="34">
        <f>$C$28*'E Balans VL '!Y13/100/3.6*1000000</f>
        <v>9.1112513523707577</v>
      </c>
      <c r="O8" s="34"/>
      <c r="P8" s="34"/>
      <c r="R8" s="33"/>
    </row>
    <row r="9" spans="1:18">
      <c r="A9" s="33" t="s">
        <v>50</v>
      </c>
      <c r="B9" s="38">
        <f t="shared" si="0"/>
        <v>88.913933256479794</v>
      </c>
      <c r="C9" s="34"/>
      <c r="D9" s="38">
        <f>IF(ISERROR(TER_gezond_gas_kWh/1000),0,TER_gezond_gas_kWh/1000)*0.902</f>
        <v>144.59153056583125</v>
      </c>
      <c r="E9" s="34">
        <f>$C$29*'E Balans VL '!I10/100/3.6*1000000</f>
        <v>8.8114718982235801E-2</v>
      </c>
      <c r="F9" s="34">
        <f>$C$29*('E Balans VL '!L10+'E Balans VL '!N10)/100/3.6*1000000</f>
        <v>30.850571994194304</v>
      </c>
      <c r="G9" s="35"/>
      <c r="H9" s="34"/>
      <c r="I9" s="34"/>
      <c r="J9" s="34">
        <f>$C$29*('E Balans VL '!D10+'E Balans VL '!E10)/100/3.6*1000000</f>
        <v>0</v>
      </c>
      <c r="K9" s="34"/>
      <c r="L9" s="34"/>
      <c r="M9" s="34"/>
      <c r="N9" s="34">
        <f>$C$29*'E Balans VL '!Y10/100/3.6*1000000</f>
        <v>0.76616366029397687</v>
      </c>
      <c r="O9" s="34"/>
      <c r="P9" s="34"/>
      <c r="R9" s="33"/>
    </row>
    <row r="10" spans="1:18">
      <c r="A10" s="33" t="s">
        <v>49</v>
      </c>
      <c r="B10" s="38">
        <f t="shared" si="0"/>
        <v>1306.1815309674901</v>
      </c>
      <c r="C10" s="34"/>
      <c r="D10" s="38">
        <f>IF(ISERROR(TER_ander_gas_kWh/1000),0,TER_ander_gas_kWh/1000)*0.902</f>
        <v>862.02564217651491</v>
      </c>
      <c r="E10" s="34">
        <f>$C$30*'E Balans VL '!I14/100/3.6*1000000</f>
        <v>10.68587035878398</v>
      </c>
      <c r="F10" s="34">
        <f>$C$30*('E Balans VL '!L14+'E Balans VL '!N14)/100/3.6*1000000</f>
        <v>381.8743028023693</v>
      </c>
      <c r="G10" s="35"/>
      <c r="H10" s="34"/>
      <c r="I10" s="34"/>
      <c r="J10" s="34">
        <f>$C$30*('E Balans VL '!D14+'E Balans VL '!E14)/100/3.6*1000000</f>
        <v>0</v>
      </c>
      <c r="K10" s="34"/>
      <c r="L10" s="34"/>
      <c r="M10" s="34"/>
      <c r="N10" s="34">
        <f>$C$30*'E Balans VL '!Y14/100/3.6*1000000</f>
        <v>753.49535787025911</v>
      </c>
      <c r="O10" s="34"/>
      <c r="P10" s="34"/>
      <c r="R10" s="33"/>
    </row>
    <row r="11" spans="1:18">
      <c r="A11" s="33" t="s">
        <v>54</v>
      </c>
      <c r="B11" s="38">
        <f t="shared" si="0"/>
        <v>173.13003390132999</v>
      </c>
      <c r="C11" s="34"/>
      <c r="D11" s="38">
        <f>IF(ISERROR(TER_onderwijs_gas_kWh/1000),0,TER_onderwijs_gas_kWh/1000)*0.902</f>
        <v>435.00291250849182</v>
      </c>
      <c r="E11" s="34">
        <f>$C$31*'E Balans VL '!I11/100/3.6*1000000</f>
        <v>0.10671004781538776</v>
      </c>
      <c r="F11" s="34">
        <f>$C$31*('E Balans VL '!L11+'E Balans VL '!N11)/100/3.6*1000000</f>
        <v>66.934874889901664</v>
      </c>
      <c r="G11" s="35"/>
      <c r="H11" s="34"/>
      <c r="I11" s="34"/>
      <c r="J11" s="34">
        <f>$C$31*('E Balans VL '!D11+'E Balans VL '!E11)/100/3.6*1000000</f>
        <v>0</v>
      </c>
      <c r="K11" s="34"/>
      <c r="L11" s="34"/>
      <c r="M11" s="34"/>
      <c r="N11" s="34">
        <f>$C$31*'E Balans VL '!Y11/100/3.6*1000000</f>
        <v>0.56315489930692064</v>
      </c>
      <c r="O11" s="34"/>
      <c r="P11" s="34"/>
      <c r="R11" s="33"/>
    </row>
    <row r="12" spans="1:18">
      <c r="A12" s="33" t="s">
        <v>255</v>
      </c>
      <c r="B12" s="38">
        <f t="shared" si="0"/>
        <v>1196.1851694509301</v>
      </c>
      <c r="C12" s="34"/>
      <c r="D12" s="38">
        <f>IF(ISERROR(TER_rest_gas_kWh/1000),0,TER_rest_gas_kWh/1000)*0.902</f>
        <v>2407.971531258815</v>
      </c>
      <c r="E12" s="34">
        <f>$C$32*'E Balans VL '!I8/100/3.6*1000000</f>
        <v>10.335447394392032</v>
      </c>
      <c r="F12" s="34">
        <f>$C$32*('E Balans VL '!L8+'E Balans VL '!N8)/100/3.6*1000000</f>
        <v>238.26497264978292</v>
      </c>
      <c r="G12" s="35"/>
      <c r="H12" s="34"/>
      <c r="I12" s="34"/>
      <c r="J12" s="34">
        <f>$C$32*('E Balans VL '!D8+'E Balans VL '!E8)/100/3.6*1000000</f>
        <v>0</v>
      </c>
      <c r="K12" s="34"/>
      <c r="L12" s="34"/>
      <c r="M12" s="34"/>
      <c r="N12" s="34">
        <f>$C$32*'E Balans VL '!Y8/100/3.6*1000000</f>
        <v>78.676562591673061</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9844.9300351678467</v>
      </c>
      <c r="C16" s="22">
        <f t="shared" ca="1" si="1"/>
        <v>0</v>
      </c>
      <c r="D16" s="22">
        <f t="shared" ca="1" si="1"/>
        <v>16512.769428795436</v>
      </c>
      <c r="E16" s="22">
        <f t="shared" si="1"/>
        <v>61.469338161168125</v>
      </c>
      <c r="F16" s="22">
        <f t="shared" ca="1" si="1"/>
        <v>1758.0302312927031</v>
      </c>
      <c r="G16" s="22">
        <f t="shared" si="1"/>
        <v>0</v>
      </c>
      <c r="H16" s="22">
        <f t="shared" si="1"/>
        <v>0</v>
      </c>
      <c r="I16" s="22">
        <f t="shared" si="1"/>
        <v>0</v>
      </c>
      <c r="J16" s="22">
        <f t="shared" si="1"/>
        <v>0</v>
      </c>
      <c r="K16" s="22">
        <f t="shared" si="1"/>
        <v>0</v>
      </c>
      <c r="L16" s="22">
        <f t="shared" ca="1" si="1"/>
        <v>0</v>
      </c>
      <c r="M16" s="22">
        <f t="shared" si="1"/>
        <v>0</v>
      </c>
      <c r="N16" s="22">
        <f t="shared" ca="1" si="1"/>
        <v>843.6310734323838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0.21437844939766995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2110.5408353678313</v>
      </c>
      <c r="C20" s="24">
        <f t="shared" ref="C20:P20" ca="1" si="2">C16*C18</f>
        <v>0</v>
      </c>
      <c r="D20" s="24">
        <f t="shared" ca="1" si="2"/>
        <v>3335.5794246166784</v>
      </c>
      <c r="E20" s="24">
        <f t="shared" si="2"/>
        <v>13.953539762585164</v>
      </c>
      <c r="F20" s="24">
        <f t="shared" ca="1" si="2"/>
        <v>469.39407175515174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4814.9108331897796</v>
      </c>
      <c r="C26" s="40">
        <f>IF(ISERROR(B26*3.6/1000000/'E Balans VL '!Z12*100),0,B26*3.6/1000000/'E Balans VL '!Z12*100)</f>
        <v>0.10231340228325168</v>
      </c>
      <c r="D26" s="236" t="s">
        <v>691</v>
      </c>
      <c r="F26" s="6"/>
    </row>
    <row r="27" spans="1:18">
      <c r="A27" s="231" t="s">
        <v>52</v>
      </c>
      <c r="B27" s="34">
        <f>IF(ISERROR(TER_horeca_ele_kWh/1000),0,TER_horeca_ele_kWh/1000)</f>
        <v>433.27011039835696</v>
      </c>
      <c r="C27" s="40">
        <f>IF(ISERROR(B27*3.6/1000000/'E Balans VL '!Z9*100),0,B27*3.6/1000000/'E Balans VL '!Z9*100)</f>
        <v>3.4101708151584594E-2</v>
      </c>
      <c r="D27" s="236" t="s">
        <v>691</v>
      </c>
      <c r="F27" s="6"/>
    </row>
    <row r="28" spans="1:18">
      <c r="A28" s="171" t="s">
        <v>51</v>
      </c>
      <c r="B28" s="34">
        <f>IF(ISERROR(TER_handel_ele_kWh/1000),0,TER_handel_ele_kWh/1000)</f>
        <v>1832.33842400348</v>
      </c>
      <c r="C28" s="40">
        <f>IF(ISERROR(B28*3.6/1000000/'E Balans VL '!Z13*100),0,B28*3.6/1000000/'E Balans VL '!Z13*100)</f>
        <v>5.1324779885147061E-2</v>
      </c>
      <c r="D28" s="236" t="s">
        <v>691</v>
      </c>
      <c r="F28" s="6"/>
    </row>
    <row r="29" spans="1:18">
      <c r="A29" s="231" t="s">
        <v>50</v>
      </c>
      <c r="B29" s="34">
        <f>IF(ISERROR(TER_gezond_ele_kWh/1000),0,TER_gezond_ele_kWh/1000)</f>
        <v>88.913933256479794</v>
      </c>
      <c r="C29" s="40">
        <f>IF(ISERROR(B29*3.6/1000000/'E Balans VL '!Z10*100),0,B29*3.6/1000000/'E Balans VL '!Z10*100)</f>
        <v>1.1374780712561736E-2</v>
      </c>
      <c r="D29" s="236" t="s">
        <v>691</v>
      </c>
      <c r="F29" s="6"/>
    </row>
    <row r="30" spans="1:18">
      <c r="A30" s="231" t="s">
        <v>49</v>
      </c>
      <c r="B30" s="34">
        <f>IF(ISERROR(TER_ander_ele_kWh/1000),0,TER_ander_ele_kWh/1000)</f>
        <v>1306.1815309674901</v>
      </c>
      <c r="C30" s="40">
        <f>IF(ISERROR(B30*3.6/1000000/'E Balans VL '!Z14*100),0,B30*3.6/1000000/'E Balans VL '!Z14*100)</f>
        <v>9.7691372438524243E-2</v>
      </c>
      <c r="D30" s="236" t="s">
        <v>691</v>
      </c>
      <c r="F30" s="6"/>
    </row>
    <row r="31" spans="1:18">
      <c r="A31" s="231" t="s">
        <v>54</v>
      </c>
      <c r="B31" s="34">
        <f>IF(ISERROR(TER_onderwijs_ele_kWh/1000),0,TER_onderwijs_ele_kWh/1000)</f>
        <v>173.13003390132999</v>
      </c>
      <c r="C31" s="40">
        <f>IF(ISERROR(B31*3.6/1000000/'E Balans VL '!Z11*100),0,B31*3.6/1000000/'E Balans VL '!Z11*100)</f>
        <v>3.6556630918982196E-2</v>
      </c>
      <c r="D31" s="236" t="s">
        <v>691</v>
      </c>
    </row>
    <row r="32" spans="1:18">
      <c r="A32" s="231" t="s">
        <v>255</v>
      </c>
      <c r="B32" s="34">
        <f>IF(ISERROR(TER_rest_ele_kWh/1000),0,TER_rest_ele_kWh/1000)</f>
        <v>1196.1851694509301</v>
      </c>
      <c r="C32" s="40">
        <f>IF(ISERROR(B32*3.6/1000000/'E Balans VL '!Z8*100),0,B32*3.6/1000000/'E Balans VL '!Z8*100)</f>
        <v>9.8540921636231966E-3</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1551.130243720422</v>
      </c>
      <c r="C5" s="18">
        <f>IF(ISERROR('Eigen informatie GS &amp; warmtenet'!B59),0,'Eigen informatie GS &amp; warmtenet'!B59)</f>
        <v>0</v>
      </c>
      <c r="D5" s="31">
        <f>SUM(D6:D15)</f>
        <v>1326.3804526378374</v>
      </c>
      <c r="E5" s="18">
        <f>SUM(E6:E15)</f>
        <v>25.691363759234175</v>
      </c>
      <c r="F5" s="18">
        <f>SUM(F6:F15)</f>
        <v>648.00861431375722</v>
      </c>
      <c r="G5" s="19"/>
      <c r="H5" s="18"/>
      <c r="I5" s="18"/>
      <c r="J5" s="18">
        <f>SUM(J6:J15)</f>
        <v>6.7343869117435986</v>
      </c>
      <c r="K5" s="18"/>
      <c r="L5" s="18"/>
      <c r="M5" s="18"/>
      <c r="N5" s="18">
        <f>SUM(N6:N15)</f>
        <v>73.726179922318209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58.474850399884005</v>
      </c>
      <c r="C8" s="34"/>
      <c r="D8" s="38">
        <f>IF( ISERROR(IND_metaal_Gas_kWH/1000),0,IND_metaal_Gas_kWH/1000)*0.902</f>
        <v>0</v>
      </c>
      <c r="E8" s="34">
        <f>C30*'E Balans VL '!I18/100/3.6*1000000</f>
        <v>0.53251992470127785</v>
      </c>
      <c r="F8" s="34">
        <f>C30*'E Balans VL '!L18/100/3.6*1000000+C30*'E Balans VL '!N18/100/3.6*1000000</f>
        <v>7.7123887021036968</v>
      </c>
      <c r="G8" s="35"/>
      <c r="H8" s="34"/>
      <c r="I8" s="34"/>
      <c r="J8" s="41">
        <f>C30*'E Balans VL '!D18/100/3.6*1000000+C30*'E Balans VL '!E18/100/3.6*1000000</f>
        <v>0.95890264413256177</v>
      </c>
      <c r="K8" s="34"/>
      <c r="L8" s="34"/>
      <c r="M8" s="34"/>
      <c r="N8" s="34">
        <f>C30*'E Balans VL '!Y18/100/3.6*1000000</f>
        <v>0.20095483174966705</v>
      </c>
      <c r="O8" s="34"/>
      <c r="P8" s="34"/>
      <c r="R8" s="33"/>
    </row>
    <row r="9" spans="1:18">
      <c r="A9" s="6" t="s">
        <v>32</v>
      </c>
      <c r="B9" s="38">
        <f t="shared" si="0"/>
        <v>490.59678050160295</v>
      </c>
      <c r="C9" s="34"/>
      <c r="D9" s="38">
        <f>IF( ISERROR(IND_andere_gas_kWh/1000),0,IND_andere_gas_kWh/1000)*0.902</f>
        <v>351.59361854270509</v>
      </c>
      <c r="E9" s="34">
        <f>C31*'E Balans VL '!I19/100/3.6*1000000</f>
        <v>2.8357227049241223</v>
      </c>
      <c r="F9" s="34">
        <f>C31*'E Balans VL '!L19/100/3.6*1000000+C31*'E Balans VL '!N19/100/3.6*1000000</f>
        <v>390.29334547195606</v>
      </c>
      <c r="G9" s="35"/>
      <c r="H9" s="34"/>
      <c r="I9" s="34"/>
      <c r="J9" s="41">
        <f>C31*'E Balans VL '!D19/100/3.6*1000000+C31*'E Balans VL '!E19/100/3.6*1000000</f>
        <v>4.6405006040761379E-2</v>
      </c>
      <c r="K9" s="34"/>
      <c r="L9" s="34"/>
      <c r="M9" s="34"/>
      <c r="N9" s="34">
        <f>C31*'E Balans VL '!Y19/100/3.6*1000000</f>
        <v>37.170130474811856</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691.90964944017003</v>
      </c>
      <c r="C12" s="34"/>
      <c r="D12" s="38">
        <f>IF( ISERROR(IND_min_gas_kWh/1000),0,IND_min_gas_kWh/1000)*0.902</f>
        <v>0</v>
      </c>
      <c r="E12" s="34">
        <f>C34*'E Balans VL '!I22/100/3.6*1000000</f>
        <v>17.541140863123825</v>
      </c>
      <c r="F12" s="34">
        <f>C34*'E Balans VL '!L22/100/3.6*1000000+C34*'E Balans VL '!N22/100/3.6*1000000</f>
        <v>191.4538117136415</v>
      </c>
      <c r="G12" s="35"/>
      <c r="H12" s="34"/>
      <c r="I12" s="34"/>
      <c r="J12" s="41">
        <f>C34*'E Balans VL '!D22/100/3.6*1000000+C34*'E Balans VL '!E22/100/3.6*1000000</f>
        <v>4.5695103647889157</v>
      </c>
      <c r="K12" s="34"/>
      <c r="L12" s="34"/>
      <c r="M12" s="34"/>
      <c r="N12" s="34">
        <f>C34*'E Balans VL '!Y22/100/3.6*1000000</f>
        <v>0</v>
      </c>
      <c r="O12" s="34"/>
      <c r="P12" s="34"/>
      <c r="R12" s="33"/>
    </row>
    <row r="13" spans="1:18">
      <c r="A13" s="6" t="s">
        <v>38</v>
      </c>
      <c r="B13" s="38">
        <f t="shared" si="0"/>
        <v>79.561999999999998</v>
      </c>
      <c r="C13" s="34"/>
      <c r="D13" s="38">
        <f>IF( ISERROR(IND_papier_gas_kWh/1000),0,IND_papier_gas_kWh/1000)*0.902</f>
        <v>179.72300824129533</v>
      </c>
      <c r="E13" s="34">
        <f>C35*'E Balans VL '!I23/100/3.6*1000000</f>
        <v>2.7099970774418529</v>
      </c>
      <c r="F13" s="34">
        <f>C35*'E Balans VL '!L23/100/3.6*1000000+C35*'E Balans VL '!N23/100/3.6*1000000</f>
        <v>13.141775120054264</v>
      </c>
      <c r="G13" s="35"/>
      <c r="H13" s="34"/>
      <c r="I13" s="34"/>
      <c r="J13" s="41">
        <f>C35*'E Balans VL '!D23/100/3.6*1000000+C35*'E Balans VL '!E23/100/3.6*1000000</f>
        <v>0</v>
      </c>
      <c r="K13" s="34"/>
      <c r="L13" s="34"/>
      <c r="M13" s="34"/>
      <c r="N13" s="34">
        <f>C35*'E Balans VL '!Y23/100/3.6*1000000</f>
        <v>29.276682312563558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230.58696337876501</v>
      </c>
      <c r="C15" s="34"/>
      <c r="D15" s="38">
        <f>IF( ISERROR(IND_rest_gas_kWh/1000),0,IND_rest_gas_kWh/1000)*0.902</f>
        <v>795.06382585383699</v>
      </c>
      <c r="E15" s="34">
        <f>C37*'E Balans VL '!I15/100/3.6*1000000</f>
        <v>2.0719831890430997</v>
      </c>
      <c r="F15" s="34">
        <f>C37*'E Balans VL '!L15/100/3.6*1000000+C37*'E Balans VL '!N15/100/3.6*1000000</f>
        <v>45.407293306001733</v>
      </c>
      <c r="G15" s="35"/>
      <c r="H15" s="34"/>
      <c r="I15" s="34"/>
      <c r="J15" s="41">
        <f>C37*'E Balans VL '!D15/100/3.6*1000000+C37*'E Balans VL '!E15/100/3.6*1000000</f>
        <v>1.1595688967813591</v>
      </c>
      <c r="K15" s="34"/>
      <c r="L15" s="34"/>
      <c r="M15" s="34"/>
      <c r="N15" s="34">
        <f>C37*'E Balans VL '!Y15/100/3.6*1000000</f>
        <v>7.0784123031931196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1551.130243720422</v>
      </c>
      <c r="C18" s="22">
        <f>C5+C16</f>
        <v>0</v>
      </c>
      <c r="D18" s="22">
        <f>MAX((D5+D16),0)</f>
        <v>1326.3804526378374</v>
      </c>
      <c r="E18" s="22">
        <f>MAX((E5+E16),0)</f>
        <v>25.691363759234175</v>
      </c>
      <c r="F18" s="22">
        <f>MAX((F5+F16),0)</f>
        <v>648.00861431375722</v>
      </c>
      <c r="G18" s="22"/>
      <c r="H18" s="22"/>
      <c r="I18" s="22"/>
      <c r="J18" s="22">
        <f>MAX((J5+J16),0)</f>
        <v>6.7343869117435986</v>
      </c>
      <c r="K18" s="22"/>
      <c r="L18" s="22">
        <f>MAX((L5+L16),0)</f>
        <v>0</v>
      </c>
      <c r="M18" s="22"/>
      <c r="N18" s="22">
        <f>MAX((N5+N16),0)</f>
        <v>73.726179922318209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0.21437844939766995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332.52889646261394</v>
      </c>
      <c r="C22" s="24">
        <f ca="1">C18*C20</f>
        <v>0</v>
      </c>
      <c r="D22" s="24">
        <f>D18*D20</f>
        <v>267.92885143284315</v>
      </c>
      <c r="E22" s="24">
        <f>E18*E20</f>
        <v>5.8319395733461583</v>
      </c>
      <c r="F22" s="24">
        <f>F18*F20</f>
        <v>173.0183000217732</v>
      </c>
      <c r="G22" s="24"/>
      <c r="H22" s="24"/>
      <c r="I22" s="24"/>
      <c r="J22" s="24">
        <f>J18*J20</f>
        <v>2.3839729667572338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58.474850399884005</v>
      </c>
      <c r="C30" s="40">
        <f>IF(ISERROR(B30*3.6/1000000/'E Balans VL '!Z18*100),0,B30*3.6/1000000/'E Balans VL '!Z18*100)</f>
        <v>3.2537344067837533E-3</v>
      </c>
      <c r="D30" s="236" t="s">
        <v>691</v>
      </c>
    </row>
    <row r="31" spans="1:18">
      <c r="A31" s="6" t="s">
        <v>32</v>
      </c>
      <c r="B31" s="38">
        <f>IF( ISERROR(IND_ander_ele_kWh/1000),0,IND_ander_ele_kWh/1000)</f>
        <v>490.59678050160295</v>
      </c>
      <c r="C31" s="40">
        <f>IF(ISERROR(B31*3.6/1000000/'E Balans VL '!Z19*100),0,B31*3.6/1000000/'E Balans VL '!Z19*100)</f>
        <v>2.2806555869862251E-2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691.90964944017003</v>
      </c>
      <c r="C34" s="40">
        <f>IF(ISERROR(B34*3.6/1000000/'E Balans VL '!Z22*100),0,B34*3.6/1000000/'E Balans VL '!Z22*100)</f>
        <v>0.13905432834452808</v>
      </c>
      <c r="D34" s="236" t="s">
        <v>691</v>
      </c>
    </row>
    <row r="35" spans="1:5">
      <c r="A35" s="171" t="s">
        <v>38</v>
      </c>
      <c r="B35" s="38">
        <f>IF( ISERROR(IND_papier_ele_kWh/1000),0,IND_papier_ele_kWh/1000)</f>
        <v>79.561999999999998</v>
      </c>
      <c r="C35" s="40">
        <f>IF(ISERROR(B35*3.6/1000000/'E Balans VL '!Z22*100),0,B35*3.6/1000000/'E Balans VL '!Z22*100)</f>
        <v>1.5989718427397083E-2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230.58696337876501</v>
      </c>
      <c r="C37" s="40">
        <f>IF(ISERROR(B37*3.6/1000000/'E Balans VL '!Z15*100),0,B37*3.6/1000000/'E Balans VL '!Z15*100)</f>
        <v>1.7412722019627068E-3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131.7311925741449</v>
      </c>
      <c r="C5" s="18">
        <f>'Eigen informatie GS &amp; warmtenet'!B60</f>
        <v>0</v>
      </c>
      <c r="D5" s="31">
        <f>IF(ISERROR(SUM(LB_lb_gas_kWh,LB_rest_gas_kWh)/1000),0,SUM(LB_lb_gas_kWh,LB_rest_gas_kWh)/1000)*0.902</f>
        <v>294.96127109450998</v>
      </c>
      <c r="E5" s="18">
        <f>B17*'E Balans VL '!I25/3.6*1000000/100</f>
        <v>1.2409960968427627</v>
      </c>
      <c r="F5" s="18">
        <f>B17*('E Balans VL '!L25/3.6*1000000+'E Balans VL '!N25/3.6*1000000)/100</f>
        <v>429.88259911281529</v>
      </c>
      <c r="G5" s="19"/>
      <c r="H5" s="18"/>
      <c r="I5" s="18"/>
      <c r="J5" s="18">
        <f>('E Balans VL '!D25+'E Balans VL '!E25)/3.6*1000000*landbouw!B17/100</f>
        <v>16.295789261819326</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131.7311925741449</v>
      </c>
      <c r="C8" s="22">
        <f>C5+C6</f>
        <v>0</v>
      </c>
      <c r="D8" s="22">
        <f>MAX((D5+D6),0)</f>
        <v>294.96127109450998</v>
      </c>
      <c r="E8" s="22">
        <f>MAX((E5+E6),0)</f>
        <v>1.2409960968427627</v>
      </c>
      <c r="F8" s="22">
        <f>MAX((F5+F6),0)</f>
        <v>429.88259911281529</v>
      </c>
      <c r="G8" s="22"/>
      <c r="H8" s="22"/>
      <c r="I8" s="22"/>
      <c r="J8" s="22">
        <f>MAX((J5+J6),0)</f>
        <v>16.295789261819326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0.21437844939766995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28.240328801351037</v>
      </c>
      <c r="C12" s="24">
        <f ca="1">C8*C10</f>
        <v>0</v>
      </c>
      <c r="D12" s="24">
        <f>D8*D10</f>
        <v>59.58217676109102</v>
      </c>
      <c r="E12" s="24">
        <f>E8*E10</f>
        <v>0.28170611398330714</v>
      </c>
      <c r="F12" s="24">
        <f>F8*F10</f>
        <v>114.77865396312168</v>
      </c>
      <c r="G12" s="24"/>
      <c r="H12" s="24"/>
      <c r="I12" s="24"/>
      <c r="J12" s="24">
        <f>J8*J10</f>
        <v>5.7687093986840416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1.7834298477372265E-2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8.9128855036254357</v>
      </c>
      <c r="C26" s="246">
        <f>B26*'GWP N2O_CH4'!B5</f>
        <v>187.17059557613416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0.59527734043734848</v>
      </c>
      <c r="C27" s="246">
        <f>B27*'GWP N2O_CH4'!B5</f>
        <v>12.500824149184318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0.12159245847469388</v>
      </c>
      <c r="C28" s="246">
        <f>B28*'GWP N2O_CH4'!B4</f>
        <v>37.6936621271551</v>
      </c>
      <c r="D28" s="51"/>
    </row>
    <row r="29" spans="1:4">
      <c r="A29" s="42" t="s">
        <v>272</v>
      </c>
      <c r="B29" s="246">
        <f>B34*'ha_N2O bodem landbouw'!B4</f>
        <v>0.49638283687264206</v>
      </c>
      <c r="C29" s="246">
        <f>B29*'GWP N2O_CH4'!B4</f>
        <v>153.87867943051904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1.3400773969145463E-4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3.2769385504433874E-5</v>
      </c>
      <c r="C5" s="435" t="s">
        <v>210</v>
      </c>
      <c r="D5" s="420">
        <f>SUM(D6:D11)</f>
        <v>4.0145401452197266E-5</v>
      </c>
      <c r="E5" s="420">
        <f>SUM(E6:E11)</f>
        <v>2.9479351577697682E-3</v>
      </c>
      <c r="F5" s="433" t="s">
        <v>210</v>
      </c>
      <c r="G5" s="420">
        <f>SUM(G6:G11)</f>
        <v>0.55866565263158074</v>
      </c>
      <c r="H5" s="420">
        <f>SUM(H6:H11)</f>
        <v>0.10004617766209822</v>
      </c>
      <c r="I5" s="435" t="s">
        <v>210</v>
      </c>
      <c r="J5" s="435" t="s">
        <v>210</v>
      </c>
      <c r="K5" s="435" t="s">
        <v>210</v>
      </c>
      <c r="L5" s="435" t="s">
        <v>210</v>
      </c>
      <c r="M5" s="420">
        <f>SUM(M6:M11)</f>
        <v>2.9440859285544175E-2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3.6899831948490752E-6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4.2976550606169352E-6</v>
      </c>
      <c r="E6" s="423">
        <f>vkm_GW_PW*SUMIFS(TableVerdeelsleutelVkm[LPG],TableVerdeelsleutelVkm[Voertuigtype],"Lichte voertuigen")*SUMIFS(TableECFTransport[EnergieConsumptieFactor (PJ per km)],TableECFTransport[Index],CONCATENATE($A6,"_LPG_LPG"))</f>
        <v>2.788208166213968E-4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4.3501289494245747E-2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1.0483803885489822E-2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2.4158364445040176E-3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6.3155264962365526E-8</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1.0447274588791305E-2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2.8033760541631619E-7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4.648696382693823E-4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5.4474289659738267E-6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1.0361947206671172E-5</v>
      </c>
      <c r="E8" s="423">
        <f>vkm_NGW_PW*SUMIFS(TableVerdeelsleutelVkm[LPG],TableVerdeelsleutelVkm[Voertuigtype],"Lichte voertuigen")*SUMIFS(TableECFTransport[EnergieConsumptieFactor (PJ per km)],TableECFTransport[Index],CONCATENATE($A8,"_LPG_LPG"))</f>
        <v>6.36938126673572E-4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9.3552046261513616E-2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2.4095238922254979E-2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5.2663600297769243E-3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6.2098596140630944E-8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1.3172865424041324E-2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3.3271319614896352E-7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5.8614858804114365E-4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2.2850046227835372E-5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2.5485799184909156E-5</v>
      </c>
      <c r="E10" s="423">
        <f>vkm_SW_PW*SUMIFS(TableVerdeelsleutelVkm[LPG],TableVerdeelsleutelVkm[Voertuigtype],"Lichte voertuigen")*SUMIFS(TableECFTransport[EnergieConsumptieFactor (PJ per km)],TableECFTransport[Index],CONCATENATE($A10,"_LPG_LPG"))</f>
        <v>2.0321762144747992E-3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0.2962383569324219</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6.5463521594163854E-2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1.6179919179555181E-2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6.5667325467260214E-7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0.10175381993056686</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3.0002093880070959E-6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4.527725405397527E-3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9.1026070845649638</v>
      </c>
      <c r="C14" s="22"/>
      <c r="D14" s="22">
        <f t="shared" ref="D14:M14" si="0">((D5)*10^9/3600)+D12</f>
        <v>11.151500403388129</v>
      </c>
      <c r="E14" s="22">
        <f t="shared" si="0"/>
        <v>818.87087715826885</v>
      </c>
      <c r="F14" s="22"/>
      <c r="G14" s="22">
        <f t="shared" si="0"/>
        <v>155184.90350877243</v>
      </c>
      <c r="H14" s="22">
        <f t="shared" si="0"/>
        <v>27790.604906138396</v>
      </c>
      <c r="I14" s="22"/>
      <c r="J14" s="22"/>
      <c r="K14" s="22"/>
      <c r="L14" s="22"/>
      <c r="M14" s="22">
        <f t="shared" si="0"/>
        <v>8178.0164682067152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0.21437844939766995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1.9514027922652821</v>
      </c>
      <c r="C18" s="24"/>
      <c r="D18" s="24">
        <f t="shared" ref="D18:M18" si="1">D14*D16</f>
        <v>2.252603081484402</v>
      </c>
      <c r="E18" s="24">
        <f t="shared" si="1"/>
        <v>185.88368911492702</v>
      </c>
      <c r="F18" s="24"/>
      <c r="G18" s="24">
        <f t="shared" si="1"/>
        <v>41434.369236842242</v>
      </c>
      <c r="H18" s="24">
        <f t="shared" si="1"/>
        <v>6919.8606216284606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2.1577026327345293E-5</v>
      </c>
      <c r="C50" s="316">
        <f t="shared" ref="C50:P50" si="2">SUM(C51:C52)</f>
        <v>0</v>
      </c>
      <c r="D50" s="316">
        <f t="shared" si="2"/>
        <v>0</v>
      </c>
      <c r="E50" s="316">
        <f t="shared" si="2"/>
        <v>0</v>
      </c>
      <c r="F50" s="316">
        <f t="shared" si="2"/>
        <v>0</v>
      </c>
      <c r="G50" s="316">
        <f t="shared" si="2"/>
        <v>4.3035804415064369E-3</v>
      </c>
      <c r="H50" s="316">
        <f t="shared" si="2"/>
        <v>0</v>
      </c>
      <c r="I50" s="316">
        <f t="shared" si="2"/>
        <v>0</v>
      </c>
      <c r="J50" s="316">
        <f t="shared" si="2"/>
        <v>0</v>
      </c>
      <c r="K50" s="316">
        <f t="shared" si="2"/>
        <v>0</v>
      </c>
      <c r="L50" s="316">
        <f t="shared" si="2"/>
        <v>0</v>
      </c>
      <c r="M50" s="316">
        <f t="shared" si="2"/>
        <v>1.9021367194412201E-4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2.1577026327345293E-5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4.3035804415064369E-3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1.9021367194412201E-4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5.9936184242625812</v>
      </c>
      <c r="C54" s="22">
        <f t="shared" ref="C54:P54" si="3">(C50)*10^9/3600</f>
        <v>0</v>
      </c>
      <c r="D54" s="22">
        <f t="shared" si="3"/>
        <v>0</v>
      </c>
      <c r="E54" s="22">
        <f t="shared" si="3"/>
        <v>0</v>
      </c>
      <c r="F54" s="22">
        <f t="shared" si="3"/>
        <v>0</v>
      </c>
      <c r="G54" s="22">
        <f t="shared" si="3"/>
        <v>1195.4390115295657</v>
      </c>
      <c r="H54" s="22">
        <f t="shared" si="3"/>
        <v>0</v>
      </c>
      <c r="I54" s="22">
        <f t="shared" si="3"/>
        <v>0</v>
      </c>
      <c r="J54" s="22">
        <f t="shared" si="3"/>
        <v>0</v>
      </c>
      <c r="K54" s="22">
        <f t="shared" si="3"/>
        <v>0</v>
      </c>
      <c r="L54" s="22">
        <f t="shared" si="3"/>
        <v>0</v>
      </c>
      <c r="M54" s="22">
        <f t="shared" si="3"/>
        <v>52.837131095589449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0.21437844939766995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1.2849026240747181</v>
      </c>
      <c r="C58" s="24">
        <f t="shared" ref="C58:P58" ca="1" si="4">C54*C56</f>
        <v>0</v>
      </c>
      <c r="D58" s="24">
        <f t="shared" si="4"/>
        <v>0</v>
      </c>
      <c r="E58" s="24">
        <f t="shared" si="4"/>
        <v>0</v>
      </c>
      <c r="F58" s="24">
        <f t="shared" si="4"/>
        <v>0</v>
      </c>
      <c r="G58" s="24">
        <f t="shared" si="4"/>
        <v>319.18221607839405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956.28577806530768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956.28577806530768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2021-06-29T16:39:53Z</dcterms:modified>
</cp:coreProperties>
</file>