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<sst xmlns="http://schemas.openxmlformats.org/spreadsheetml/2006/main" count="2565" uniqueCount="965">
  <si>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</si>
  <si>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</si>
  <si>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</si>
  <si>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</si>
  <si>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</si>
  <si>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</si>
  <si>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</si>
  <si>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</si>
  <si>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</si>
  <si>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</si>
  <si>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</si>
  <si>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</si>
  <si>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</si>
  <si>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</si>
  <si>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</si>
  <si>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</si>
  <si>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</si>
  <si>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</si>
  <si>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</si>
  <si>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</si>
  <si>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</si>
  <si>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</si>
  <si>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</si>
  <si>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</si>
  <si>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</si>
  <si>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</si>
  <si>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</si>
  <si>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</si>
  <si>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</si>
  <si>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</si>
  <si>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</si>
  <si>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</si>
  <si>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</si>
  <si>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</si>
  <si>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</si>
  <si>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</si>
  <si>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</si>
  <si>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</si>
  <si>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</si>
  <si>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</si>
  <si>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</si>
  <si>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</si>
  <si>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</si>
  <si>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</si>
  <si>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</si>
  <si>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</si>
  <si>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</si>
  <si>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</si>
  <si>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</si>
  <si>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</si>
  <si>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</si>
  <si>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</si>
  <si>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</si>
  <si>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</si>
  <si>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</si>
  <si>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</si>
  <si>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</si>
  <si>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</si>
  <si>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</si>
  <si>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</si>
  <si>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</si>
  <si>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</si>
  <si>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</si>
  <si>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</si>
  <si>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</si>
  <si>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</si>
  <si>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</si>
  <si>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</si>
  <si>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</si>
  <si>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</si>
  <si>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</si>
  <si>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</si>
  <si>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</si>
  <si>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</si>
  <si>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</si>
  <si>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</si>
  <si>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</si>
  <si>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</si>
  <si>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</si>
  <si>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</si>
  <si>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</si>
  <si>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</si>
  <si>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</si>
  <si>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</si>
  <si>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</si>
  <si>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</si>
  <si>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</si>
  <si>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</si>
  <si>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</si>
  <si>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</si>
  <si>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</si>
  <si>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</si>
  <si>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</si>
  <si>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</si>
  <si>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</si>
  <si>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</si>
  <si>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</si>
  <si>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</si>
  <si>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</si>
  <si>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</si>
  <si>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</si>
  <si>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</si>
  <si>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</si>
  <si>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</si>
  <si>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</si>
  <si>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</si>
  <si>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</si>
  <si>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</si>
  <si>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</si>
  <si>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</si>
  <si>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</si>
  <si>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</si>
  <si>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</si>
  <si>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</si>
  <si>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</si>
  <si>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</si>
  <si>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</si>
  <si>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</si>
  <si>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</si>
  <si>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</si>
  <si>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</si>
  <si>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</si>
  <si>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</si>
  <si>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</si>
  <si>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</si>
  <si>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</si>
  <si>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</si>
  <si>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</si>
  <si>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</si>
  <si>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</si>
  <si>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</si>
  <si>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</si>
  <si>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</si>
  <si>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</si>
  <si>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</si>
  <si>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</si>
  <si>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</si>
  <si>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</si>
  <si>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</si>
  <si>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</si>
  <si>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</si>
  <si>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</si>
  <si>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</si>
  <si>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</si>
  <si>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</si>
  <si>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</si>
  <si>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</si>
  <si>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</si>
  <si>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</si>
  <si>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</si>
  <si>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</si>
  <si>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</si>
  <si>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</si>
  <si>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</si>
  <si>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</si>
  <si>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</si>
  <si>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</si>
  <si>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</si>
  <si>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</si>
  <si>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</si>
  <si>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</si>
  <si>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</si>
  <si>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</si>
  <si>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</si>
  <si>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</si>
  <si>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</si>
  <si>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</si>
  <si>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</si>
  <si>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</si>
  <si>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</si>
  <si>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</si>
  <si>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</si>
  <si>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</si>
  <si>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</si>
  <si>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</si>
  <si>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</si>
  <si>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</si>
  <si>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</si>
  <si>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</si>
  <si>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</si>
  <si>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</si>
  <si>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</si>
  <si>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</si>
  <si>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</si>
  <si>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</si>
  <si>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</si>
  <si>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</si>
  <si>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</si>
  <si>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</si>
  <si>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</si>
  <si>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</si>
  <si>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</si>
  <si>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</si>
  <si>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</si>
  <si>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</si>
  <si>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</si>
  <si>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</si>
  <si>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</si>
  <si>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</si>
  <si>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</si>
  <si>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</si>
  <si>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</si>
  <si>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</si>
  <si>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</si>
  <si>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</si>
  <si>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</si>
  <si>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</si>
  <si>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</si>
  <si>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</si>
  <si>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</si>
  <si>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</si>
  <si>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</si>
  <si>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</si>
  <si>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</si>
  <si>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</si>
  <si>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</si>
  <si>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</si>
  <si>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</si>
  <si>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</si>
  <si>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</si>
  <si>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</si>
  <si>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</si>
  <si>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</si>
  <si>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</si>
  <si>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</si>
  <si>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</si>
  <si>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</si>
  <si>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</si>
  <si>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</si>
  <si>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</si>
  <si>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</si>
  <si>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</si>
  <si>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</si>
  <si>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</si>
  <si>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</si>
  <si>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</si>
  <si>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</si>
  <si>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</si>
  <si>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</si>
  <si>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</si>
  <si>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</si>
  <si>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</si>
  <si>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</si>
  <si>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</si>
  <si>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</si>
  <si>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</si>
  <si>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</si>
  <si>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</si>
  <si>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</si>
  <si>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</si>
  <si>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</si>
  <si>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</si>
  <si>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</si>
  <si>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</si>
  <si>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</si>
  <si>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</si>
  <si>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</si>
  <si>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</si>
  <si>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</si>
  <si>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</si>
  <si>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</si>
  <si>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</si>
  <si>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</si>
  <si>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</si>
  <si>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</si>
  <si>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</si>
  <si>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</si>
  <si>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</si>
  <si>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</si>
  <si>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</si>
  <si>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</si>
  <si>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</si>
  <si>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</si>
  <si>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</si>
  <si>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</si>
  <si>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</si>
  <si>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</si>
  <si>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</si>
  <si>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</si>
  <si>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</si>
  <si>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</si>
  <si>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</si>
  <si>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</si>
  <si>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</si>
  <si>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</si>
  <si>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</si>
  <si>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</si>
  <si>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</si>
  <si>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</si>
  <si>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</si>
  <si>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</si>
  <si>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</si>
  <si>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</si>
  <si>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</si>
  <si>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</si>
  <si>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</si>
  <si>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</si>
  <si>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</si>
  <si>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</si>
  <si>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</si>
  <si>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</si>
  <si>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</si>
  <si>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</si>
  <si>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</si>
  <si>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</si>
  <si>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</si>
  <si>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</si>
  <si>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</si>
  <si>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</si>
  <si>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</si>
  <si>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</si>
  <si>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</si>
  <si>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</si>
  <si>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</si>
  <si>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</si>
  <si>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</si>
  <si>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</si>
  <si>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</si>
  <si>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</si>
  <si>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</si>
  <si>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</si>
  <si>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</si>
  <si>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</si>
  <si>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</si>
  <si>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</si>
  <si>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</si>
  <si>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</si>
  <si>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</si>
  <si>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</si>
  <si>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</si>
  <si>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</si>
  <si>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</si>
  <si>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</si>
  <si>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</si>
  <si>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</si>
  <si>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</si>
  <si>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</si>
  <si>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</si>
  <si>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</si>
  <si>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</si>
  <si>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</si>
  <si>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</si>
  <si>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</si>
  <si>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</si>
  <si>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</si>
  <si>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</si>
  <si>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</si>
  <si>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</si>
  <si>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</si>
  <si>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</si>
  <si>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</si>
  <si>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</si>
  <si>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</si>
  <si>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</si>
  <si>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</si>
  <si>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</si>
  <si>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</si>
  <si>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</si>
  <si>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</si>
  <si>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</si>
  <si>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</si>
  <si>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</si>
  <si>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</si>
  <si>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</si>
  <si>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</si>
  <si>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</si>
  <si>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</si>
  <si>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</si>
  <si>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</si>
  <si>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</si>
  <si>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</si>
  <si>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</si>
  <si>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</si>
  <si>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</si>
  <si>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</si>
  <si>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</si>
  <si>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</si>
  <si>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</si>
  <si>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</si>
  <si>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</si>
  <si>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</si>
  <si>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</si>
  <si>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</si>
  <si>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</si>
  <si>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</si>
  <si>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</si>
  <si>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</si>
  <si>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</si>
  <si>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</si>
  <si>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</si>
  <si>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</si>
  <si>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</si>
  <si>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</si>
  <si>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</si>
  <si>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</si>
  <si>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</si>
  <si>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</si>
  <si>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</si>
  <si>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</si>
  <si>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</si>
  <si>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</si>
  <si>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</si>
  <si>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</si>
  <si>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</si>
  <si>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</si>
  <si>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</si>
  <si>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</si>
  <si>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</si>
  <si>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</si>
  <si>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</si>
  <si>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</si>
  <si>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</si>
  <si>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</si>
  <si>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</si>
  <si>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</si>
  <si>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</si>
  <si>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</si>
  <si>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</si>
  <si>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</si>
  <si>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</si>
  <si>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</si>
  <si>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</si>
  <si>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</si>
  <si>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</si>
  <si>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</si>
  <si>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</si>
  <si>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</si>
  <si>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</si>
  <si>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</si>
  <si>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</si>
  <si>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</si>
  <si>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</si>
  <si>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</si>
  <si>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</si>
  <si>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</si>
  <si>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</si>
  <si>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</si>
  <si>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</si>
  <si>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</si>
  <si>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</si>
  <si>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</si>
  <si>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</si>
  <si>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</si>
  <si>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</si>
  <si>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</si>
  <si>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</si>
  <si>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</si>
  <si>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</si>
  <si>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</si>
  <si>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</si>
  <si>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</si>
  <si>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</si>
  <si>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</si>
  <si>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</si>
  <si>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</si>
  <si>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</si>
  <si>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</si>
  <si>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</si>
  <si>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</si>
  <si>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</si>
  <si>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</si>
  <si>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</si>
  <si>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</si>
  <si>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</si>
  <si>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</si>
  <si>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</si>
  <si>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</si>
  <si>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</si>
  <si>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</si>
  <si>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</si>
  <si>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</si>
  <si>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</si>
  <si>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</si>
  <si>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</si>
  <si>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</si>
  <si>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</si>
  <si>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</si>
  <si>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</si>
  <si>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</si>
  <si>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</si>
  <si>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</si>
  <si>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</si>
  <si>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</si>
  <si>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</si>
  <si>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</si>
  <si>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</si>
  <si>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</si>
  <si>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</si>
  <si>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</si>
  <si>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</si>
  <si>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</si>
  <si>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</si>
  <si>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</si>
  <si>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</si>
  <si>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</si>
  <si>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</si>
  <si>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</si>
  <si>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</si>
  <si>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</si>
  <si>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</si>
  <si>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</si>
  <si>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</si>
  <si>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</si>
  <si>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</si>
  <si>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</si>
  <si>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</si>
  <si>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</si>
  <si>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</si>
  <si>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</si>
  <si>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</si>
  <si>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</si>
  <si>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</si>
  <si>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</si>
  <si>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</si>
  <si>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</si>
  <si>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</si>
  <si>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</si>
  <si>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</si>
  <si>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</si>
  <si>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</si>
  <si>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</si>
  <si>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</si>
  <si>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</si>
  <si>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</si>
  <si>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</si>
  <si>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</si>
  <si>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</si>
  <si>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</si>
  <si>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</si>
  <si>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</si>
  <si>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</si>
  <si>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</si>
  <si>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</si>
  <si>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</si>
  <si>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</si>
  <si>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</si>
  <si>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</si>
  <si>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</si>
  <si>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</si>
  <si>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</si>
  <si>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</si>
  <si>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</si>
  <si>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</si>
  <si>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</si>
  <si>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</si>
  <si>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</si>
  <si>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</si>
  <si>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</si>
  <si>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</si>
  <si>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</si>
  <si>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</si>
  <si>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</si>
  <si>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</si>
  <si>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</si>
  <si>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</si>
  <si>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</si>
  <si>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</si>
  <si>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</si>
  <si>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</si>
  <si>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</si>
  <si>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</si>
  <si>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</si>
  <si>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</si>
  <si>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</si>
  <si>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</si>
  <si>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</si>
  <si>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</si>
  <si>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</si>
  <si>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</si>
  <si>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</si>
  <si>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</si>
  <si>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</si>
  <si>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</si>
  <si>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</si>
  <si>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</si>
  <si>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</si>
  <si>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</si>
  <si>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</si>
  <si>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</si>
  <si>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</si>
  <si>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</si>
  <si>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</si>
  <si>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</si>
  <si>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</si>
  <si>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</si>
  <si>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</si>
  <si>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</si>
  <si>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</si>
  <si>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</si>
  <si>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</si>
  <si>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</si>
  <si>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</si>
  <si>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</si>
  <si>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</si>
  <si>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</si>
  <si>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</si>
  <si>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</si>
  <si>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</si>
  <si>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</si>
  <si>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</si>
  <si>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</si>
  <si>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</si>
  <si>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</si>
  <si>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</si>
  <si>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</si>
  <si>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</si>
  <si>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</si>
  <si>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</si>
  <si>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</si>
  <si>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</si>
  <si>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</si>
  <si>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</si>
  <si>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</si>
  <si>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</si>
  <si>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</si>
  <si>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</si>
  <si>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</si>
  <si>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</si>
  <si>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</si>
  <si>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</si>
  <si>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</si>
  <si>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</si>
  <si>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</si>
  <si>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</si>
  <si>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</si>
  <si>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</si>
  <si>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</si>
  <si>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</si>
  <si>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</si>
  <si>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</si>
  <si>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</si>
  <si>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</si>
  <si>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</si>
  <si>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</si>
  <si>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</si>
  <si>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</si>
  <si>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</si>
  <si>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</si>
  <si>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</si>
  <si>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</si>
  <si>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</si>
  <si>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</si>
  <si>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</si>
  <si>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</si>
  <si>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</si>
  <si>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</si>
  <si>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</si>
  <si>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</si>
  <si>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</si>
  <si>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</si>
  <si>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</si>
  <si>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</si>
  <si>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</si>
  <si>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</si>
  <si>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</si>
  <si>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</si>
  <si>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</si>
  <si>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</si>
  <si>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</si>
  <si>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</si>
  <si>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</si>
  <si>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</si>
  <si>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</si>
  <si>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</si>
  <si>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</si>
  <si>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</si>
  <si>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</si>
  <si>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</si>
  <si>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</si>
  <si>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</si>
  <si>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</si>
  <si>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</si>
  <si>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</si>
  <si>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</si>
  <si>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</si>
  <si>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</si>
  <si>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</si>
  <si>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</si>
  <si>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</si>
  <si>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</si>
  <si>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</si>
  <si>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</si>
  <si>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</si>
  <si>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</si>
  <si>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</si>
  <si>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</si>
  <si>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</si>
  <si>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</si>
  <si>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</si>
  <si>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</si>
  <si>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</si>
  <si>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</si>
  <si>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</si>
  <si>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</si>
  <si>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</si>
  <si>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</si>
  <si>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</si>
  <si>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</si>
  <si>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</si>
  <si>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</si>
  <si>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</si>
  <si>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</si>
  <si>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</si>
  <si>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</si>
  <si>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</si>
  <si>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</si>
  <si>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</si>
  <si>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</si>
  <si>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</si>
  <si>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</si>
  <si>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</si>
  <si>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</si>
  <si>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</si>
  <si>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</si>
  <si>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</si>
  <si>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</si>
  <si>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</si>
  <si>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</si>
  <si>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</si>
  <si>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</si>
  <si>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</si>
  <si>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</si>
  <si>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</si>
  <si>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</si>
  <si>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</si>
  <si>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</si>
  <si>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</si>
  <si>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</si>
  <si>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</si>
  <si>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</si>
  <si>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</si>
  <si>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</si>
  <si>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</si>
  <si>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</si>
  <si>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</si>
  <si>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</si>
  <si>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</si>
  <si>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</si>
  <si>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</si>
  <si>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</si>
  <si>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</si>
  <si>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</si>
  <si>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</si>
  <si>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</si>
  <si>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</si>
  <si>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</si>
  <si>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</si>
  <si>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</si>
  <si>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</si>
  <si>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</si>
  <si>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</si>
  <si>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</si>
  <si>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</si>
  <si>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</si>
  <si>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</si>
  <si>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</si>
  <si>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</si>
  <si>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</si>
  <si>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</si>
  <si>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</si>
  <si>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</si>
  <si>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</si>
  <si>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</si>
  <si>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</si>
  <si>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</si>
  <si>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</si>
  <si>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</si>
  <si>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</si>
  <si>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</si>
  <si>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</si>
  <si>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</si>
  <si>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</si>
  <si>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</si>
  <si>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</si>
  <si>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</si>
  <si>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</si>
  <si>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</si>
  <si>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</si>
  <si>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</si>
  <si>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</si>
  <si>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</si>
  <si>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</si>
  <si>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</si>
  <si>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</si>
  <si>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</si>
  <si>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</si>
  <si>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</si>
  <si>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</si>
  <si>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</si>
  <si>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</si>
  <si>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</si>
  <si>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</si>
  <si>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</si>
  <si>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</si>
  <si>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</si>
  <si>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</si>
  <si>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</si>
  <si>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</si>
  <si>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</si>
  <si>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</si>
  <si>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</si>
  <si>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</si>
  <si>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</si>
  <si>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</si>
  <si>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</si>
  <si>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</si>
  <si>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</si>
  <si>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</si>
  <si>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</si>
  <si>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</si>
  <si>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</si>
  <si>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</si>
  <si>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</si>
  <si>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</si>
  <si>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</si>
  <si>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</si>
  <si>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</si>
  <si>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</si>
  <si>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</si>
  <si>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</si>
  <si>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</si>
  <si>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</si>
  <si>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</si>
  <si>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</si>
  <si>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</si>
  <si>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</si>
  <si>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</si>
  <si>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</si>
  <si>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</si>
  <si>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</si>
  <si>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</si>
  <si>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</si>
  <si>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</si>
  <si>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</si>
  <si>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</si>
  <si>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</si>
  <si>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</si>
  <si>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</si>
  <si>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</si>
  <si>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</si>
  <si>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</si>
  <si>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</si>
  <si>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</si>
  <si>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</si>
  <si>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</si>
  <si>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</si>
  <si>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</si>
  <si>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</si>
  <si>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</si>
  <si>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</si>
  <si>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</si>
  <si>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</si>
  <si>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</si>
  <si>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</si>
  <si>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</si>
  <si>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</si>
  <si>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</si>
  <si>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</si>
  <si>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</si>
  <si>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</si>
  <si>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</si>
  <si>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</si>
  <si>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</si>
  <si>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</si>
  <si>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</si>
  <si>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</si>
  <si>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</si>
  <si>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</si>
  <si>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</si>
  <si>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</si>
  <si>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</si>
  <si>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</si>
  <si>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</si>
  <si>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</si>
  <si>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</si>
  <si>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</si>
  <si>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</si>
  <si>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</si>
  <si>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</si>
  <si>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</si>
  <si>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</si>
  <si>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</si>
  <si>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</si>
  <si>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</si>
  <si>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</si>
  <si>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</si>
  <si>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</si>
  <si>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</si>
  <si>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</si>
  <si>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</si>
  <si>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</si>
  <si>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</si>
  <si>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</si>
  <si>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</si>
  <si>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</si>
  <si>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</si>
  <si>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</si>
  <si>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</si>
  <si>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</si>
  <si>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</si>
  <si>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</si>
  <si>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</si>
  <si>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</si>
  <si>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</si>
  <si>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</si>
  <si>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</si>
  <si>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</si>
  <si>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</si>
  <si>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</si>
  <si>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</si>
  <si>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</si>
  <si>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</si>
  <si>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</si>
  <si>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</si>
  <si>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</si>
  <si>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</si>
  <si>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</si>
  <si>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</si>
  <si>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</si>
  <si>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</si>
  <si>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</si>
  <si>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</si>
  <si>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</si>
  <si>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</si>
  <si>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</si>
  <si>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</si>
  <si>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</si>
  <si>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</si>
  <si>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</si>
  <si>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</si>
  <si>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</si>
  <si>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</si>
  <si>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</si>
  <si>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</si>
  <si>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</si>
  <si>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</si>
  <si>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</si>
  <si>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</si>
  <si>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</si>
  <si>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</si>
  <si>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</si>
  <si>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</si>
  <si>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</si>
  <si>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</si>
  <si>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</si>
  <si>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</si>
  <si>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</si>
  <si>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</si>
  <si>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</si>
  <si>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</si>
  <si>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</si>
  <si>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</si>
  <si>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</si>
  <si>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</si>
  <si>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</si>
  <si>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</si>
  <si>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</si>
  <si>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</si>
  <si>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</si>
  <si>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23023</t>
  </si>
  <si>
    <t>GALMAARDEN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</si>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</sst>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23023</v>
      </c>
      <c r="B6" s="386"/>
      <c r="C6" s="387"/>
    </row>
    <row r="7" spans="1:7" s="384" customFormat="1" ht="15.75" customHeight="1">
      <c r="A7" s="388" t="str">
        <f>txtMunicipality</f>
        <v>GALMAARDEN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5811.0609999999997</v>
      </c>
      <c r="D10" s="676">
        <f ca="1">tertiair!C16</f>
        <v>0</v>
      </c>
      <c r="E10" s="676">
        <f ca="1">tertiair!D16</f>
        <v>2952.5950739999998</v>
      </c>
      <c r="F10" s="676">
        <f>tertiair!E16</f>
        <v>41.951172931915437</v>
      </c>
      <c r="G10" s="676">
        <f ca="1">tertiair!F16</f>
        <v>1110.7493830016119</v>
      </c>
      <c r="H10" s="676">
        <f>tertiair!G16</f>
        <v>0</v>
      </c>
      <c r="I10" s="676">
        <f>tertiair!H16</f>
        <v>0</v>
      </c>
      <c r="J10" s="676">
        <f>tertiair!I16</f>
        <v>0</v>
      </c>
      <c r="K10" s="676">
        <f>tertiair!J16</f>
        <v>0</v>
      </c>
      <c r="L10" s="676">
        <f>tertiair!K16</f>
        <v>0</v>
      </c>
      <c r="M10" s="676">
        <f ca="1">tertiair!L16</f>
        <v>0</v>
      </c>
      <c r="N10" s="676">
        <f>tertiair!M16</f>
        <v>0</v>
      </c>
      <c r="O10" s="676">
        <f ca="1">tertiair!N16</f>
        <v>484.78145228072987</v>
      </c>
      <c r="P10" s="676">
        <f>tertiair!O16</f>
        <v>1.5633333333333335</v>
      </c>
      <c r="Q10" s="677">
        <f>tertiair!P16</f>
        <v>0</v>
      </c>
      <c r="R10" s="679">
        <f ca="1">SUM(C10:Q10)</f>
        <v>10402.701415547588</v>
      </c>
      <c r="S10" s="68"/>
    </row>
    <row r="11" spans="1:19" s="445" customFormat="1">
      <c r="A11" s="791" t="s">
        <v>220</v>
      </c>
      <c r="B11" s="796"/>
      <c r="C11" s="676">
        <f>huishoudens!B8</f>
        <v>17882.524436268857</v>
      </c>
      <c r="D11" s="676">
        <f>huishoudens!C8</f>
        <v>0</v>
      </c>
      <c r="E11" s="676">
        <f>huishoudens!D8</f>
        <v>12595.748990000002</v>
      </c>
      <c r="F11" s="676">
        <f>huishoudens!E8</f>
        <v>1346.6200505995414</v>
      </c>
      <c r="G11" s="676">
        <f>huishoudens!F8</f>
        <v>41054.535706359908</v>
      </c>
      <c r="H11" s="676">
        <f>huishoudens!G8</f>
        <v>0</v>
      </c>
      <c r="I11" s="676">
        <f>huishoudens!H8</f>
        <v>0</v>
      </c>
      <c r="J11" s="676">
        <f>huishoudens!I8</f>
        <v>0</v>
      </c>
      <c r="K11" s="676">
        <f>huishoudens!J8</f>
        <v>744.92024510996862</v>
      </c>
      <c r="L11" s="676">
        <f>huishoudens!K8</f>
        <v>0</v>
      </c>
      <c r="M11" s="676">
        <f>huishoudens!L8</f>
        <v>0</v>
      </c>
      <c r="N11" s="676">
        <f>huishoudens!M8</f>
        <v>0</v>
      </c>
      <c r="O11" s="676">
        <f>huishoudens!N8</f>
        <v>5387.622148295075</v>
      </c>
      <c r="P11" s="676">
        <f>huishoudens!O8</f>
        <v>21.88666666666667</v>
      </c>
      <c r="Q11" s="677">
        <f>huishoudens!P8</f>
        <v>305.06666666666666</v>
      </c>
      <c r="R11" s="679">
        <f>SUM(C11:Q11)</f>
        <v>79338.924909966692</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825.673</v>
      </c>
      <c r="D13" s="676">
        <f>industrie!C18</f>
        <v>0</v>
      </c>
      <c r="E13" s="676">
        <f>industrie!D18</f>
        <v>337.56177400000001</v>
      </c>
      <c r="F13" s="676">
        <f>industrie!E18</f>
        <v>5.9674182932552213</v>
      </c>
      <c r="G13" s="676">
        <f>industrie!F18</f>
        <v>448.39102745405563</v>
      </c>
      <c r="H13" s="676">
        <f>industrie!G18</f>
        <v>0</v>
      </c>
      <c r="I13" s="676">
        <f>industrie!H18</f>
        <v>0</v>
      </c>
      <c r="J13" s="676">
        <f>industrie!I18</f>
        <v>0</v>
      </c>
      <c r="K13" s="676">
        <f>industrie!J18</f>
        <v>0.94190454861562412</v>
      </c>
      <c r="L13" s="676">
        <f>industrie!K18</f>
        <v>0</v>
      </c>
      <c r="M13" s="676">
        <f>industrie!L18</f>
        <v>0</v>
      </c>
      <c r="N13" s="676">
        <f>industrie!M18</f>
        <v>0</v>
      </c>
      <c r="O13" s="676">
        <f>industrie!N18</f>
        <v>43.79616873356543</v>
      </c>
      <c r="P13" s="676">
        <f>industrie!O18</f>
        <v>0</v>
      </c>
      <c r="Q13" s="677">
        <f>industrie!P18</f>
        <v>0</v>
      </c>
      <c r="R13" s="679">
        <f>SUM(C13:Q13)</f>
        <v>1662.3312930294919</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24519.258436268854</v>
      </c>
      <c r="D16" s="709">
        <f t="shared" ref="D16:R16" ca="1" si="0">SUM(D9:D15)</f>
        <v>0</v>
      </c>
      <c r="E16" s="709">
        <f t="shared" ca="1" si="0"/>
        <v>15885.905838000001</v>
      </c>
      <c r="F16" s="709">
        <f t="shared" si="0"/>
        <v>1394.5386418247119</v>
      </c>
      <c r="G16" s="709">
        <f t="shared" ca="1" si="0"/>
        <v>42613.676116815572</v>
      </c>
      <c r="H16" s="709">
        <f t="shared" si="0"/>
        <v>0</v>
      </c>
      <c r="I16" s="709">
        <f t="shared" si="0"/>
        <v>0</v>
      </c>
      <c r="J16" s="709">
        <f t="shared" si="0"/>
        <v>0</v>
      </c>
      <c r="K16" s="709">
        <f t="shared" si="0"/>
        <v>745.86214965858426</v>
      </c>
      <c r="L16" s="709">
        <f t="shared" si="0"/>
        <v>0</v>
      </c>
      <c r="M16" s="709">
        <f t="shared" ca="1" si="0"/>
        <v>0</v>
      </c>
      <c r="N16" s="709">
        <f t="shared" si="0"/>
        <v>0</v>
      </c>
      <c r="O16" s="709">
        <f t="shared" ca="1" si="0"/>
        <v>5916.1997693093708</v>
      </c>
      <c r="P16" s="709">
        <f t="shared" si="0"/>
        <v>23.450000000000003</v>
      </c>
      <c r="Q16" s="709">
        <f t="shared" si="0"/>
        <v>305.06666666666666</v>
      </c>
      <c r="R16" s="709">
        <f t="shared" ca="1" si="0"/>
        <v>91403.957618543776</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4.0952702824744769</v>
      </c>
      <c r="D19" s="676">
        <f>transport!C54</f>
        <v>0</v>
      </c>
      <c r="E19" s="676">
        <f>transport!D54</f>
        <v>0</v>
      </c>
      <c r="F19" s="676">
        <f>transport!E54</f>
        <v>0</v>
      </c>
      <c r="G19" s="676">
        <f>transport!F54</f>
        <v>0</v>
      </c>
      <c r="H19" s="676">
        <f>transport!G54</f>
        <v>816.80973193251373</v>
      </c>
      <c r="I19" s="676">
        <f>transport!H54</f>
        <v>0</v>
      </c>
      <c r="J19" s="676">
        <f>transport!I54</f>
        <v>0</v>
      </c>
      <c r="K19" s="676">
        <f>transport!J54</f>
        <v>0</v>
      </c>
      <c r="L19" s="676">
        <f>transport!K54</f>
        <v>0</v>
      </c>
      <c r="M19" s="676">
        <f>transport!L54</f>
        <v>0</v>
      </c>
      <c r="N19" s="676">
        <f>transport!M54</f>
        <v>36.102120200219105</v>
      </c>
      <c r="O19" s="676">
        <f>transport!N54</f>
        <v>0</v>
      </c>
      <c r="P19" s="676">
        <f>transport!O54</f>
        <v>0</v>
      </c>
      <c r="Q19" s="677">
        <f>transport!P54</f>
        <v>0</v>
      </c>
      <c r="R19" s="679">
        <f>SUM(C19:Q19)</f>
        <v>857.00712241520739</v>
      </c>
      <c r="S19" s="68"/>
    </row>
    <row r="20" spans="1:19" s="445" customFormat="1">
      <c r="A20" s="791" t="s">
        <v>302</v>
      </c>
      <c r="B20" s="796"/>
      <c r="C20" s="676">
        <f>transport!B14</f>
        <v>1.8013084511909319</v>
      </c>
      <c r="D20" s="676">
        <f>transport!C14</f>
        <v>0</v>
      </c>
      <c r="E20" s="676">
        <f>transport!D14</f>
        <v>2.4386824826112399</v>
      </c>
      <c r="F20" s="676">
        <f>transport!E14</f>
        <v>154.68673440875304</v>
      </c>
      <c r="G20" s="676">
        <f>transport!F14</f>
        <v>0</v>
      </c>
      <c r="H20" s="676">
        <f>transport!G14</f>
        <v>32341.229956941705</v>
      </c>
      <c r="I20" s="676">
        <f>transport!H14</f>
        <v>5831.1255170867271</v>
      </c>
      <c r="J20" s="676">
        <f>transport!I14</f>
        <v>0</v>
      </c>
      <c r="K20" s="676">
        <f>transport!J14</f>
        <v>0</v>
      </c>
      <c r="L20" s="676">
        <f>transport!K14</f>
        <v>0</v>
      </c>
      <c r="M20" s="676">
        <f>transport!L14</f>
        <v>0</v>
      </c>
      <c r="N20" s="676">
        <f>transport!M14</f>
        <v>1706.1418599044184</v>
      </c>
      <c r="O20" s="676">
        <f>transport!N14</f>
        <v>0</v>
      </c>
      <c r="P20" s="676">
        <f>transport!O14</f>
        <v>0</v>
      </c>
      <c r="Q20" s="677">
        <f>transport!P14</f>
        <v>0</v>
      </c>
      <c r="R20" s="679">
        <f>SUM(C20:Q20)</f>
        <v>40037.424059275407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5.8965787336654092</v>
      </c>
      <c r="D22" s="794">
        <f t="shared" ref="D22:R22" si="1">SUM(D18:D21)</f>
        <v>0</v>
      </c>
      <c r="E22" s="794">
        <f t="shared" si="1"/>
        <v>2.4386824826112399</v>
      </c>
      <c r="F22" s="794">
        <f t="shared" si="1"/>
        <v>154.68673440875304</v>
      </c>
      <c r="G22" s="794">
        <f t="shared" si="1"/>
        <v>0</v>
      </c>
      <c r="H22" s="794">
        <f t="shared" si="1"/>
        <v>33158.039688874218</v>
      </c>
      <c r="I22" s="794">
        <f t="shared" si="1"/>
        <v>5831.1255170867271</v>
      </c>
      <c r="J22" s="794">
        <f t="shared" si="1"/>
        <v>0</v>
      </c>
      <c r="K22" s="794">
        <f t="shared" si="1"/>
        <v>0</v>
      </c>
      <c r="L22" s="794">
        <f t="shared" si="1"/>
        <v>0</v>
      </c>
      <c r="M22" s="794">
        <f t="shared" si="1"/>
        <v>0</v>
      </c>
      <c r="N22" s="794">
        <f t="shared" si="1"/>
        <v>1742.2439801046376</v>
      </c>
      <c r="O22" s="794">
        <f t="shared" si="1"/>
        <v>0</v>
      </c>
      <c r="P22" s="794">
        <f t="shared" si="1"/>
        <v>0</v>
      </c>
      <c r="Q22" s="794">
        <f t="shared" si="1"/>
        <v>0</v>
      </c>
      <c r="R22" s="794">
        <f t="shared" si="1"/>
        <v>40894.431181690612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685.05700000000002</v>
      </c>
      <c r="D24" s="676">
        <f>+landbouw!C8</f>
        <v>0</v>
      </c>
      <c r="E24" s="676">
        <f>+landbouw!D8</f>
        <v>58.973662000000004</v>
      </c>
      <c r="F24" s="676">
        <f>+landbouw!E8</f>
        <v>6.4536959432467276</v>
      </c>
      <c r="G24" s="676">
        <f>+landbouw!F8</f>
        <v>2235.5683414516416</v>
      </c>
      <c r="H24" s="676">
        <f>+landbouw!G8</f>
        <v>0</v>
      </c>
      <c r="I24" s="676">
        <f>+landbouw!H8</f>
        <v>0</v>
      </c>
      <c r="J24" s="676">
        <f>+landbouw!I8</f>
        <v>0</v>
      </c>
      <c r="K24" s="676">
        <f>+landbouw!J8</f>
        <v>84.744883016607929</v>
      </c>
      <c r="L24" s="676">
        <f>+landbouw!K8</f>
        <v>0</v>
      </c>
      <c r="M24" s="676">
        <f>+landbouw!L8</f>
        <v>0</v>
      </c>
      <c r="N24" s="676">
        <f>+landbouw!M8</f>
        <v>0</v>
      </c>
      <c r="O24" s="676">
        <f>+landbouw!N8</f>
        <v>0</v>
      </c>
      <c r="P24" s="676">
        <f>+landbouw!O8</f>
        <v>0</v>
      </c>
      <c r="Q24" s="677">
        <f>+landbouw!P8</f>
        <v>0</v>
      </c>
      <c r="R24" s="679">
        <f>SUM(C24:Q24)</f>
        <v>3070.7975824114965</v>
      </c>
      <c r="S24" s="68"/>
    </row>
    <row r="25" spans="1:19" s="445" customFormat="1" ht="15" thickBot="1">
      <c r="A25" s="813" t="s">
        <v>879</v>
      </c>
      <c r="B25" s="979"/>
      <c r="C25" s="980">
        <f>IF(Onbekend_ele_kWh="---",0,Onbekend_ele_kWh)/1000+IF(REST_rest_ele_kWh="---",0,REST_rest_ele_kWh)/1000</f>
        <v>235.334</v>
      </c>
      <c r="D25" s="980"/>
      <c r="E25" s="980">
        <f>IF(onbekend_gas_kWh="---",0,onbekend_gas_kWh)/1000+IF(REST_rest_gas_kWh="---",0,REST_rest_gas_kWh)/1000</f>
        <v>846.23599999999999</v>
      </c>
      <c r="F25" s="980"/>
      <c r="G25" s="980"/>
      <c r="H25" s="980"/>
      <c r="I25" s="980"/>
      <c r="J25" s="980"/>
      <c r="K25" s="980"/>
      <c r="L25" s="980"/>
      <c r="M25" s="980"/>
      <c r="N25" s="980"/>
      <c r="O25" s="980"/>
      <c r="P25" s="980"/>
      <c r="Q25" s="981"/>
      <c r="R25" s="679">
        <f>SUM(C25:Q25)</f>
        <v>1081.57</v>
      </c>
      <c r="S25" s="68"/>
    </row>
    <row r="26" spans="1:19" s="445" customFormat="1" ht="15.75" thickBot="1">
      <c r="A26" s="682" t="s">
        <v>880</v>
      </c>
      <c r="B26" s="799"/>
      <c r="C26" s="794">
        <f>SUM(C24:C25)</f>
        <v>920.39100000000008</v>
      </c>
      <c r="D26" s="794">
        <f t="shared" ref="D26:R26" si="2">SUM(D24:D25)</f>
        <v>0</v>
      </c>
      <c r="E26" s="794">
        <f t="shared" si="2"/>
        <v>905.20966199999998</v>
      </c>
      <c r="F26" s="794">
        <f t="shared" si="2"/>
        <v>6.4536959432467276</v>
      </c>
      <c r="G26" s="794">
        <f t="shared" si="2"/>
        <v>2235.5683414516416</v>
      </c>
      <c r="H26" s="794">
        <f t="shared" si="2"/>
        <v>0</v>
      </c>
      <c r="I26" s="794">
        <f t="shared" si="2"/>
        <v>0</v>
      </c>
      <c r="J26" s="794">
        <f t="shared" si="2"/>
        <v>0</v>
      </c>
      <c r="K26" s="794">
        <f t="shared" si="2"/>
        <v>84.744883016607929</v>
      </c>
      <c r="L26" s="794">
        <f t="shared" si="2"/>
        <v>0</v>
      </c>
      <c r="M26" s="794">
        <f t="shared" si="2"/>
        <v>0</v>
      </c>
      <c r="N26" s="794">
        <f t="shared" si="2"/>
        <v>0</v>
      </c>
      <c r="O26" s="794">
        <f t="shared" si="2"/>
        <v>0</v>
      </c>
      <c r="P26" s="794">
        <f t="shared" si="2"/>
        <v>0</v>
      </c>
      <c r="Q26" s="794">
        <f t="shared" si="2"/>
        <v>0</v>
      </c>
      <c r="R26" s="794">
        <f t="shared" si="2"/>
        <v>4152.3675824114962</v>
      </c>
      <c r="S26" s="68"/>
    </row>
    <row r="27" spans="1:19" s="445" customFormat="1" ht="17.25" thickTop="1" thickBot="1">
      <c r="A27" s="683" t="s">
        <v>115</v>
      </c>
      <c r="B27" s="786"/>
      <c r="C27" s="684">
        <f ca="1">C22+C16+C26</f>
        <v>25445.546015002517</v>
      </c>
      <c r="D27" s="684">
        <f t="shared" ref="D27:R27" ca="1" si="3">D22+D16+D26</f>
        <v>0</v>
      </c>
      <c r="E27" s="684">
        <f t="shared" ca="1" si="3"/>
        <v>16793.55418248261</v>
      </c>
      <c r="F27" s="684">
        <f t="shared" si="3"/>
        <v>1555.6790721767115</v>
      </c>
      <c r="G27" s="684">
        <f t="shared" ca="1" si="3"/>
        <v>44849.244458267211</v>
      </c>
      <c r="H27" s="684">
        <f t="shared" si="3"/>
        <v>33158.039688874218</v>
      </c>
      <c r="I27" s="684">
        <f t="shared" si="3"/>
        <v>5831.1255170867271</v>
      </c>
      <c r="J27" s="684">
        <f t="shared" si="3"/>
        <v>0</v>
      </c>
      <c r="K27" s="684">
        <f t="shared" si="3"/>
        <v>830.60703267519216</v>
      </c>
      <c r="L27" s="684">
        <f t="shared" si="3"/>
        <v>0</v>
      </c>
      <c r="M27" s="684">
        <f t="shared" ca="1" si="3"/>
        <v>0</v>
      </c>
      <c r="N27" s="684">
        <f t="shared" si="3"/>
        <v>1742.2439801046376</v>
      </c>
      <c r="O27" s="684">
        <f t="shared" ca="1" si="3"/>
        <v>5916.1997693093708</v>
      </c>
      <c r="P27" s="684">
        <f t="shared" si="3"/>
        <v>23.450000000000003</v>
      </c>
      <c r="Q27" s="684">
        <f t="shared" si="3"/>
        <v>305.06666666666666</v>
      </c>
      <c r="R27" s="684">
        <f t="shared" ca="1" si="3"/>
        <v>136450.75638264589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1216.9185652653762</v>
      </c>
      <c r="D40" s="676">
        <f ca="1">tertiair!C20</f>
        <v>0</v>
      </c>
      <c r="E40" s="676">
        <f ca="1">tertiair!D20</f>
        <v>596.42420494800001</v>
      </c>
      <c r="F40" s="676">
        <f>tertiair!E20</f>
        <v>9.5229162555448053</v>
      </c>
      <c r="G40" s="676">
        <f ca="1">tertiair!F20</f>
        <v>296.57008526143039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2119.4357717303515</v>
      </c>
    </row>
    <row r="41" spans="1:18">
      <c r="A41" s="804" t="s">
        <v>220</v>
      </c>
      <c r="B41" s="811"/>
      <c r="C41" s="676">
        <f ca="1">huishoudens!B12</f>
        <v>3744.8541635180445</v>
      </c>
      <c r="D41" s="676">
        <f ca="1">huishoudens!C12</f>
        <v>0</v>
      </c>
      <c r="E41" s="676">
        <f>huishoudens!D12</f>
        <v>2544.3412959800007</v>
      </c>
      <c r="F41" s="676">
        <f>huishoudens!E12</f>
        <v>305.68275148609592</v>
      </c>
      <c r="G41" s="676">
        <f>huishoudens!F12</f>
        <v>10961.561033598096</v>
      </c>
      <c r="H41" s="676">
        <f>huishoudens!G12</f>
        <v>0</v>
      </c>
      <c r="I41" s="676">
        <f>huishoudens!H12</f>
        <v>0</v>
      </c>
      <c r="J41" s="676">
        <f>huishoudens!I12</f>
        <v>0</v>
      </c>
      <c r="K41" s="676">
        <f>huishoudens!J12</f>
        <v>263.70176676892885</v>
      </c>
      <c r="L41" s="676">
        <f>huishoudens!K12</f>
        <v>0</v>
      </c>
      <c r="M41" s="676">
        <f>huishoudens!L12</f>
        <v>0</v>
      </c>
      <c r="N41" s="676">
        <f>huishoudens!M12</f>
        <v>0</v>
      </c>
      <c r="O41" s="676">
        <f>huishoudens!N12</f>
        <v>0</v>
      </c>
      <c r="P41" s="676">
        <f>huishoudens!O12</f>
        <v>0</v>
      </c>
      <c r="Q41" s="751">
        <f>huishoudens!P12</f>
        <v>0</v>
      </c>
      <c r="R41" s="832">
        <f t="shared" ca="1" si="4"/>
        <v>17820.141011351167</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172.90763296726004</v>
      </c>
      <c r="D43" s="676">
        <f ca="1">industrie!C22</f>
        <v>0</v>
      </c>
      <c r="E43" s="676">
        <f>industrie!D22</f>
        <v>68.187478348000013</v>
      </c>
      <c r="F43" s="676">
        <f>industrie!E22</f>
        <v>1.3546039525689353</v>
      </c>
      <c r="G43" s="676">
        <f>industrie!F22</f>
        <v>119.72040433023287</v>
      </c>
      <c r="H43" s="676">
        <f>industrie!G22</f>
        <v>0</v>
      </c>
      <c r="I43" s="676">
        <f>industrie!H22</f>
        <v>0</v>
      </c>
      <c r="J43" s="676">
        <f>industrie!I22</f>
        <v>0</v>
      </c>
      <c r="K43" s="676">
        <f>industrie!J22</f>
        <v>0.33343421020993091</v>
      </c>
      <c r="L43" s="676">
        <f>industrie!K22</f>
        <v>0</v>
      </c>
      <c r="M43" s="676">
        <f>industrie!L22</f>
        <v>0</v>
      </c>
      <c r="N43" s="676">
        <f>industrie!M22</f>
        <v>0</v>
      </c>
      <c r="O43" s="676">
        <f>industrie!N22</f>
        <v>0</v>
      </c>
      <c r="P43" s="676">
        <f>industrie!O22</f>
        <v>0</v>
      </c>
      <c r="Q43" s="751">
        <f>industrie!P22</f>
        <v>0</v>
      </c>
      <c r="R43" s="831">
        <f t="shared" ca="1" si="4"/>
        <v>362.50355380827182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5134.6803617506803</v>
      </c>
      <c r="D46" s="709">
        <f t="shared" ref="D46:Q46" ca="1" si="5">SUM(D39:D45)</f>
        <v>0</v>
      </c>
      <c r="E46" s="709">
        <f t="shared" ca="1" si="5"/>
        <v>3208.9529792760004</v>
      </c>
      <c r="F46" s="709">
        <f t="shared" si="5"/>
        <v>316.56027169420969</v>
      </c>
      <c r="G46" s="709">
        <f t="shared" ca="1" si="5"/>
        <v>11377.85152318976</v>
      </c>
      <c r="H46" s="709">
        <f t="shared" si="5"/>
        <v>0</v>
      </c>
      <c r="I46" s="709">
        <f t="shared" si="5"/>
        <v>0</v>
      </c>
      <c r="J46" s="709">
        <f t="shared" si="5"/>
        <v>0</v>
      </c>
      <c r="K46" s="709">
        <f t="shared" si="5"/>
        <v>264.03520097913878</v>
      </c>
      <c r="L46" s="709">
        <f t="shared" si="5"/>
        <v>0</v>
      </c>
      <c r="M46" s="709">
        <f t="shared" ca="1" si="5"/>
        <v>0</v>
      </c>
      <c r="N46" s="709">
        <f t="shared" si="5"/>
        <v>0</v>
      </c>
      <c r="O46" s="709">
        <f t="shared" ca="1" si="5"/>
        <v>0</v>
      </c>
      <c r="P46" s="709">
        <f t="shared" si="5"/>
        <v>0</v>
      </c>
      <c r="Q46" s="709">
        <f t="shared" si="5"/>
        <v>0</v>
      </c>
      <c r="R46" s="709">
        <f ca="1">SUM(R39:R45)</f>
        <v>20302.080336889787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0.85760766175450109</v>
      </c>
      <c r="D49" s="676">
        <f ca="1">transport!C58</f>
        <v>0</v>
      </c>
      <c r="E49" s="676">
        <f>transport!D58</f>
        <v>0</v>
      </c>
      <c r="F49" s="676">
        <f>transport!E58</f>
        <v>0</v>
      </c>
      <c r="G49" s="676">
        <f>transport!F58</f>
        <v>0</v>
      </c>
      <c r="H49" s="676">
        <f>transport!G58</f>
        <v>218.08819842598118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218.94580608773569</v>
      </c>
    </row>
    <row r="50" spans="1:18">
      <c r="A50" s="807" t="s">
        <v>302</v>
      </c>
      <c r="B50" s="817"/>
      <c r="C50" s="986">
        <f ca="1">transport!B18</f>
        <v>0.37721952944972803</v>
      </c>
      <c r="D50" s="986">
        <f>transport!C18</f>
        <v>0</v>
      </c>
      <c r="E50" s="986">
        <f>transport!D18</f>
        <v>0.49261386148747049</v>
      </c>
      <c r="F50" s="986">
        <f>transport!E18</f>
        <v>35.113888710786938</v>
      </c>
      <c r="G50" s="986">
        <f>transport!F18</f>
        <v>0</v>
      </c>
      <c r="H50" s="986">
        <f>transport!G18</f>
        <v>8635.1083985034347</v>
      </c>
      <c r="I50" s="986">
        <f>transport!H18</f>
        <v>1451.950253754595</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10123.042374359753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1.234827191204229</v>
      </c>
      <c r="D52" s="709">
        <f t="shared" ref="D52:Q52" ca="1" si="6">SUM(D48:D51)</f>
        <v>0</v>
      </c>
      <c r="E52" s="709">
        <f t="shared" si="6"/>
        <v>0.49261386148747049</v>
      </c>
      <c r="F52" s="709">
        <f t="shared" si="6"/>
        <v>35.113888710786938</v>
      </c>
      <c r="G52" s="709">
        <f t="shared" si="6"/>
        <v>0</v>
      </c>
      <c r="H52" s="709">
        <f t="shared" si="6"/>
        <v>8853.196596929416</v>
      </c>
      <c r="I52" s="709">
        <f t="shared" si="6"/>
        <v>1451.950253754595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10341.988180447488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143.46064884966842</v>
      </c>
      <c r="D54" s="986">
        <f ca="1">+landbouw!C12</f>
        <v>0</v>
      </c>
      <c r="E54" s="986">
        <f>+landbouw!D12</f>
        <v>11.912679724000002</v>
      </c>
      <c r="F54" s="986">
        <f>+landbouw!E12</f>
        <v>1.4649889791170072</v>
      </c>
      <c r="G54" s="986">
        <f>+landbouw!F12</f>
        <v>596.89674716758839</v>
      </c>
      <c r="H54" s="986">
        <f>+landbouw!G12</f>
        <v>0</v>
      </c>
      <c r="I54" s="986">
        <f>+landbouw!H12</f>
        <v>0</v>
      </c>
      <c r="J54" s="986">
        <f>+landbouw!I12</f>
        <v>0</v>
      </c>
      <c r="K54" s="986">
        <f>+landbouw!J12</f>
        <v>29.999688587879206</v>
      </c>
      <c r="L54" s="986">
        <f>+landbouw!K12</f>
        <v>0</v>
      </c>
      <c r="M54" s="986">
        <f>+landbouw!L12</f>
        <v>0</v>
      </c>
      <c r="N54" s="986">
        <f>+landbouw!M12</f>
        <v>0</v>
      </c>
      <c r="O54" s="986">
        <f>+landbouw!N12</f>
        <v>0</v>
      </c>
      <c r="P54" s="986">
        <f>+landbouw!O12</f>
        <v>0</v>
      </c>
      <c r="Q54" s="987">
        <f>+landbouw!P12</f>
        <v>0</v>
      </c>
      <c r="R54" s="708">
        <f ca="1">SUM(C54:Q54)</f>
        <v>783.73475330825306</v>
      </c>
    </row>
    <row r="55" spans="1:18" ht="15" thickBot="1">
      <c r="A55" s="807" t="s">
        <v>879</v>
      </c>
      <c r="B55" s="817"/>
      <c r="C55" s="986">
        <f ca="1">C25*'EF ele_warmte'!B12</f>
        <v>49.282276272467641</v>
      </c>
      <c r="D55" s="986"/>
      <c r="E55" s="986">
        <f>E25*EF_CO2_aardgas</f>
        <v>170.939672</v>
      </c>
      <c r="F55" s="986"/>
      <c r="G55" s="986"/>
      <c r="H55" s="986"/>
      <c r="I55" s="986"/>
      <c r="J55" s="986"/>
      <c r="K55" s="986"/>
      <c r="L55" s="986"/>
      <c r="M55" s="986"/>
      <c r="N55" s="986"/>
      <c r="O55" s="986"/>
      <c r="P55" s="986"/>
      <c r="Q55" s="987"/>
      <c r="R55" s="708">
        <f ca="1">SUM(C55:Q55)</f>
        <v>220.22194827246764</v>
      </c>
    </row>
    <row r="56" spans="1:18" ht="15.75" thickBot="1">
      <c r="A56" s="805" t="s">
        <v>880</v>
      </c>
      <c r="B56" s="818"/>
      <c r="C56" s="709">
        <f ca="1">SUM(C54:C55)</f>
        <v>192.74292512213606</v>
      </c>
      <c r="D56" s="709">
        <f t="shared" ref="D56:Q56" ca="1" si="7">SUM(D54:D55)</f>
        <v>0</v>
      </c>
      <c r="E56" s="709">
        <f t="shared" si="7"/>
        <v>182.85235172400002</v>
      </c>
      <c r="F56" s="709">
        <f t="shared" si="7"/>
        <v>1.4649889791170072</v>
      </c>
      <c r="G56" s="709">
        <f t="shared" si="7"/>
        <v>596.89674716758839</v>
      </c>
      <c r="H56" s="709">
        <f t="shared" si="7"/>
        <v>0</v>
      </c>
      <c r="I56" s="709">
        <f t="shared" si="7"/>
        <v>0</v>
      </c>
      <c r="J56" s="709">
        <f t="shared" si="7"/>
        <v>0</v>
      </c>
      <c r="K56" s="709">
        <f t="shared" si="7"/>
        <v>29.999688587879206</v>
      </c>
      <c r="L56" s="709">
        <f t="shared" si="7"/>
        <v>0</v>
      </c>
      <c r="M56" s="709">
        <f t="shared" si="7"/>
        <v>0</v>
      </c>
      <c r="N56" s="709">
        <f t="shared" si="7"/>
        <v>0</v>
      </c>
      <c r="O56" s="709">
        <f t="shared" si="7"/>
        <v>0</v>
      </c>
      <c r="P56" s="709">
        <f t="shared" si="7"/>
        <v>0</v>
      </c>
      <c r="Q56" s="710">
        <f t="shared" si="7"/>
        <v>0</v>
      </c>
      <c r="R56" s="711">
        <f ca="1">SUM(R54:R55)</f>
        <v>1003.9567015807207</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5328.658114064021</v>
      </c>
      <c r="D61" s="717">
        <f t="shared" ref="D61:Q61" ca="1" si="8">D46+D52+D56</f>
        <v>0</v>
      </c>
      <c r="E61" s="717">
        <f t="shared" ca="1" si="8"/>
        <v>3392.2979448614878</v>
      </c>
      <c r="F61" s="717">
        <f t="shared" si="8"/>
        <v>353.13914938411364</v>
      </c>
      <c r="G61" s="717">
        <f t="shared" ca="1" si="8"/>
        <v>11974.748270357348</v>
      </c>
      <c r="H61" s="717">
        <f t="shared" si="8"/>
        <v>8853.196596929416</v>
      </c>
      <c r="I61" s="717">
        <f t="shared" si="8"/>
        <v>1451.950253754595</v>
      </c>
      <c r="J61" s="717">
        <f t="shared" si="8"/>
        <v>0</v>
      </c>
      <c r="K61" s="717">
        <f t="shared" si="8"/>
        <v>294.03488956701801</v>
      </c>
      <c r="L61" s="717">
        <f t="shared" si="8"/>
        <v>0</v>
      </c>
      <c r="M61" s="717">
        <f t="shared" ca="1" si="8"/>
        <v>0</v>
      </c>
      <c r="N61" s="717">
        <f t="shared" si="8"/>
        <v>0</v>
      </c>
      <c r="O61" s="717">
        <f t="shared" ca="1" si="8"/>
        <v>0</v>
      </c>
      <c r="P61" s="717">
        <f t="shared" si="8"/>
        <v>0</v>
      </c>
      <c r="Q61" s="717">
        <f t="shared" si="8"/>
        <v>0</v>
      </c>
      <c r="R61" s="717">
        <f ca="1">R46+R52+R56</f>
        <v>31648.025218917999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0.20941417845473942</v>
      </c>
      <c r="D63" s="761">
        <f t="shared" ca="1" si="9"/>
        <v>0</v>
      </c>
      <c r="E63" s="988">
        <f t="shared" ca="1" si="9"/>
        <v>0.20200000000000004</v>
      </c>
      <c r="F63" s="761">
        <f t="shared" si="9"/>
        <v>0.22700000000000006</v>
      </c>
      <c r="G63" s="761">
        <f t="shared" ca="1" si="9"/>
        <v>0.26700000000000007</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1333.9708382422486</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1333.9708382422486</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17882.524436268857</v>
      </c>
      <c r="C4" s="449">
        <f>huishoudens!C8</f>
        <v>0</v>
      </c>
      <c r="D4" s="449">
        <f>huishoudens!D8</f>
        <v>12595.748990000002</v>
      </c>
      <c r="E4" s="449">
        <f>huishoudens!E8</f>
        <v>1346.6200505995414</v>
      </c>
      <c r="F4" s="449">
        <f>huishoudens!F8</f>
        <v>41054.535706359908</v>
      </c>
      <c r="G4" s="449">
        <f>huishoudens!G8</f>
        <v>0</v>
      </c>
      <c r="H4" s="449">
        <f>huishoudens!H8</f>
        <v>0</v>
      </c>
      <c r="I4" s="449">
        <f>huishoudens!I8</f>
        <v>0</v>
      </c>
      <c r="J4" s="449">
        <f>huishoudens!J8</f>
        <v>744.92024510996862</v>
      </c>
      <c r="K4" s="449">
        <f>huishoudens!K8</f>
        <v>0</v>
      </c>
      <c r="L4" s="449">
        <f>huishoudens!L8</f>
        <v>0</v>
      </c>
      <c r="M4" s="449">
        <f>huishoudens!M8</f>
        <v>0</v>
      </c>
      <c r="N4" s="449">
        <f>huishoudens!N8</f>
        <v>5387.622148295075</v>
      </c>
      <c r="O4" s="449">
        <f>huishoudens!O8</f>
        <v>21.88666666666667</v>
      </c>
      <c r="P4" s="450">
        <f>huishoudens!P8</f>
        <v>305.06666666666666</v>
      </c>
      <c r="Q4" s="451">
        <f>SUM(B4:P4)</f>
        <v>79338.924909966692</v>
      </c>
    </row>
    <row r="5" spans="1:17">
      <c r="A5" s="448" t="s">
        <v>155</v>
      </c>
      <c r="B5" s="449">
        <f ca="1">tertiair!B16</f>
        <v>5219.1979999999994</v>
      </c>
      <c r="C5" s="449">
        <f ca="1">tertiair!C16</f>
        <v>0</v>
      </c>
      <c r="D5" s="449">
        <f ca="1">tertiair!D16</f>
        <v>2952.5950739999998</v>
      </c>
      <c r="E5" s="449">
        <f>tertiair!E16</f>
        <v>41.951172931915437</v>
      </c>
      <c r="F5" s="449">
        <f ca="1">tertiair!F16</f>
        <v>1110.7493830016119</v>
      </c>
      <c r="G5" s="449">
        <f>tertiair!G16</f>
        <v>0</v>
      </c>
      <c r="H5" s="449">
        <f>tertiair!H16</f>
        <v>0</v>
      </c>
      <c r="I5" s="449">
        <f>tertiair!I16</f>
        <v>0</v>
      </c>
      <c r="J5" s="449">
        <f>tertiair!J16</f>
        <v>0</v>
      </c>
      <c r="K5" s="449">
        <f>tertiair!K16</f>
        <v>0</v>
      </c>
      <c r="L5" s="449">
        <f ca="1">tertiair!L16</f>
        <v>0</v>
      </c>
      <c r="M5" s="449">
        <f>tertiair!M16</f>
        <v>0</v>
      </c>
      <c r="N5" s="449">
        <f ca="1">tertiair!N16</f>
        <v>484.78145228072987</v>
      </c>
      <c r="O5" s="449">
        <f>tertiair!O16</f>
        <v>1.5633333333333335</v>
      </c>
      <c r="P5" s="450">
        <f>tertiair!P16</f>
        <v>0</v>
      </c>
      <c r="Q5" s="448">
        <f t="shared" ref="Q5:Q14" ca="1" si="0">SUM(B5:P5)</f>
        <v>9810.8384155475887</v>
      </c>
    </row>
    <row r="6" spans="1:17">
      <c r="A6" s="448" t="s">
        <v>193</v>
      </c>
      <c r="B6" s="449">
        <f>'openbare verlichting'!B8</f>
        <v>591.86300000000006</v>
      </c>
      <c r="C6" s="449"/>
      <c r="D6" s="449"/>
      <c r="E6" s="449"/>
      <c r="F6" s="449"/>
      <c r="G6" s="449"/>
      <c r="H6" s="449"/>
      <c r="I6" s="449"/>
      <c r="J6" s="449"/>
      <c r="K6" s="449"/>
      <c r="L6" s="449"/>
      <c r="M6" s="449"/>
      <c r="N6" s="449"/>
      <c r="O6" s="449"/>
      <c r="P6" s="450"/>
      <c r="Q6" s="448">
        <f t="shared" si="0"/>
        <v>591.86300000000006</v>
      </c>
    </row>
    <row r="7" spans="1:17">
      <c r="A7" s="448" t="s">
        <v>111</v>
      </c>
      <c r="B7" s="449">
        <f>landbouw!B8</f>
        <v>685.05700000000002</v>
      </c>
      <c r="C7" s="449">
        <f>landbouw!C8</f>
        <v>0</v>
      </c>
      <c r="D7" s="449">
        <f>landbouw!D8</f>
        <v>58.973662000000004</v>
      </c>
      <c r="E7" s="449">
        <f>landbouw!E8</f>
        <v>6.4536959432467276</v>
      </c>
      <c r="F7" s="449">
        <f>landbouw!F8</f>
        <v>2235.5683414516416</v>
      </c>
      <c r="G7" s="449">
        <f>landbouw!G8</f>
        <v>0</v>
      </c>
      <c r="H7" s="449">
        <f>landbouw!H8</f>
        <v>0</v>
      </c>
      <c r="I7" s="449">
        <f>landbouw!I8</f>
        <v>0</v>
      </c>
      <c r="J7" s="449">
        <f>landbouw!J8</f>
        <v>84.744883016607929</v>
      </c>
      <c r="K7" s="449">
        <f>landbouw!K8</f>
        <v>0</v>
      </c>
      <c r="L7" s="449">
        <f>landbouw!L8</f>
        <v>0</v>
      </c>
      <c r="M7" s="449">
        <f>landbouw!M8</f>
        <v>0</v>
      </c>
      <c r="N7" s="449">
        <f>landbouw!N8</f>
        <v>0</v>
      </c>
      <c r="O7" s="449">
        <f>landbouw!O8</f>
        <v>0</v>
      </c>
      <c r="P7" s="450">
        <f>landbouw!P8</f>
        <v>0</v>
      </c>
      <c r="Q7" s="448">
        <f t="shared" si="0"/>
        <v>3070.7975824114965</v>
      </c>
    </row>
    <row r="8" spans="1:17">
      <c r="A8" s="448" t="s">
        <v>671</v>
      </c>
      <c r="B8" s="449">
        <f>industrie!B18</f>
        <v>825.673</v>
      </c>
      <c r="C8" s="449">
        <f>industrie!C18</f>
        <v>0</v>
      </c>
      <c r="D8" s="449">
        <f>industrie!D18</f>
        <v>337.56177400000001</v>
      </c>
      <c r="E8" s="449">
        <f>industrie!E18</f>
        <v>5.9674182932552213</v>
      </c>
      <c r="F8" s="449">
        <f>industrie!F18</f>
        <v>448.39102745405563</v>
      </c>
      <c r="G8" s="449">
        <f>industrie!G18</f>
        <v>0</v>
      </c>
      <c r="H8" s="449">
        <f>industrie!H18</f>
        <v>0</v>
      </c>
      <c r="I8" s="449">
        <f>industrie!I18</f>
        <v>0</v>
      </c>
      <c r="J8" s="449">
        <f>industrie!J18</f>
        <v>0.94190454861562412</v>
      </c>
      <c r="K8" s="449">
        <f>industrie!K18</f>
        <v>0</v>
      </c>
      <c r="L8" s="449">
        <f>industrie!L18</f>
        <v>0</v>
      </c>
      <c r="M8" s="449">
        <f>industrie!M18</f>
        <v>0</v>
      </c>
      <c r="N8" s="449">
        <f>industrie!N18</f>
        <v>43.79616873356543</v>
      </c>
      <c r="O8" s="449">
        <f>industrie!O18</f>
        <v>0</v>
      </c>
      <c r="P8" s="450">
        <f>industrie!P18</f>
        <v>0</v>
      </c>
      <c r="Q8" s="448">
        <f t="shared" si="0"/>
        <v>1662.3312930294919</v>
      </c>
    </row>
    <row r="9" spans="1:17" s="454" customFormat="1">
      <c r="A9" s="452" t="s">
        <v>568</v>
      </c>
      <c r="B9" s="453">
        <f>transport!B14</f>
        <v>1.8013084511909319</v>
      </c>
      <c r="C9" s="453">
        <f>transport!C14</f>
        <v>0</v>
      </c>
      <c r="D9" s="453">
        <f>transport!D14</f>
        <v>2.4386824826112399</v>
      </c>
      <c r="E9" s="453">
        <f>transport!E14</f>
        <v>154.68673440875304</v>
      </c>
      <c r="F9" s="453">
        <f>transport!F14</f>
        <v>0</v>
      </c>
      <c r="G9" s="453">
        <f>transport!G14</f>
        <v>32341.229956941705</v>
      </c>
      <c r="H9" s="453">
        <f>transport!H14</f>
        <v>5831.1255170867271</v>
      </c>
      <c r="I9" s="453">
        <f>transport!I14</f>
        <v>0</v>
      </c>
      <c r="J9" s="453">
        <f>transport!J14</f>
        <v>0</v>
      </c>
      <c r="K9" s="453">
        <f>transport!K14</f>
        <v>0</v>
      </c>
      <c r="L9" s="453">
        <f>transport!L14</f>
        <v>0</v>
      </c>
      <c r="M9" s="453">
        <f>transport!M14</f>
        <v>1706.1418599044184</v>
      </c>
      <c r="N9" s="453">
        <f>transport!N14</f>
        <v>0</v>
      </c>
      <c r="O9" s="453">
        <f>transport!O14</f>
        <v>0</v>
      </c>
      <c r="P9" s="453">
        <f>transport!P14</f>
        <v>0</v>
      </c>
      <c r="Q9" s="452">
        <f>SUM(B9:P9)</f>
        <v>40037.424059275407</v>
      </c>
    </row>
    <row r="10" spans="1:17">
      <c r="A10" s="448" t="s">
        <v>558</v>
      </c>
      <c r="B10" s="449">
        <f>transport!B54</f>
        <v>4.0952702824744769</v>
      </c>
      <c r="C10" s="449">
        <f>transport!C54</f>
        <v>0</v>
      </c>
      <c r="D10" s="449">
        <f>transport!D54</f>
        <v>0</v>
      </c>
      <c r="E10" s="449">
        <f>transport!E54</f>
        <v>0</v>
      </c>
      <c r="F10" s="449">
        <f>transport!F54</f>
        <v>0</v>
      </c>
      <c r="G10" s="449">
        <f>transport!G54</f>
        <v>816.80973193251373</v>
      </c>
      <c r="H10" s="449">
        <f>transport!H54</f>
        <v>0</v>
      </c>
      <c r="I10" s="449">
        <f>transport!I54</f>
        <v>0</v>
      </c>
      <c r="J10" s="449">
        <f>transport!J54</f>
        <v>0</v>
      </c>
      <c r="K10" s="449">
        <f>transport!K54</f>
        <v>0</v>
      </c>
      <c r="L10" s="449">
        <f>transport!L54</f>
        <v>0</v>
      </c>
      <c r="M10" s="449">
        <f>transport!M54</f>
        <v>36.102120200219105</v>
      </c>
      <c r="N10" s="449">
        <f>transport!N54</f>
        <v>0</v>
      </c>
      <c r="O10" s="449">
        <f>transport!O54</f>
        <v>0</v>
      </c>
      <c r="P10" s="450">
        <f>transport!P54</f>
        <v>0</v>
      </c>
      <c r="Q10" s="448">
        <f t="shared" si="0"/>
        <v>857.00712241520739</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235.334</v>
      </c>
      <c r="C14" s="456"/>
      <c r="D14" s="456">
        <f>'SEAP template'!E25</f>
        <v>846.23599999999999</v>
      </c>
      <c r="E14" s="456"/>
      <c r="F14" s="456"/>
      <c r="G14" s="456"/>
      <c r="H14" s="456"/>
      <c r="I14" s="456"/>
      <c r="J14" s="456"/>
      <c r="K14" s="456"/>
      <c r="L14" s="456"/>
      <c r="M14" s="456"/>
      <c r="N14" s="456"/>
      <c r="O14" s="456"/>
      <c r="P14" s="457"/>
      <c r="Q14" s="448">
        <f t="shared" si="0"/>
        <v>1081.57</v>
      </c>
    </row>
    <row r="15" spans="1:17" s="461" customFormat="1">
      <c r="A15" s="458" t="s">
        <v>562</v>
      </c>
      <c r="B15" s="459">
        <f ca="1">SUM(B4:B14)</f>
        <v>25445.546015002525</v>
      </c>
      <c r="C15" s="459">
        <f t="shared" ref="C15:Q15" ca="1" si="1">SUM(C4:C14)</f>
        <v>0</v>
      </c>
      <c r="D15" s="459">
        <f t="shared" ca="1" si="1"/>
        <v>16793.55418248261</v>
      </c>
      <c r="E15" s="459">
        <f t="shared" si="1"/>
        <v>1555.6790721767115</v>
      </c>
      <c r="F15" s="459">
        <f t="shared" ca="1" si="1"/>
        <v>44849.244458267211</v>
      </c>
      <c r="G15" s="459">
        <f t="shared" si="1"/>
        <v>33158.039688874218</v>
      </c>
      <c r="H15" s="459">
        <f t="shared" si="1"/>
        <v>5831.1255170867271</v>
      </c>
      <c r="I15" s="459">
        <f t="shared" si="1"/>
        <v>0</v>
      </c>
      <c r="J15" s="459">
        <f t="shared" si="1"/>
        <v>830.60703267519216</v>
      </c>
      <c r="K15" s="459">
        <f t="shared" si="1"/>
        <v>0</v>
      </c>
      <c r="L15" s="459">
        <f t="shared" ca="1" si="1"/>
        <v>0</v>
      </c>
      <c r="M15" s="459">
        <f t="shared" si="1"/>
        <v>1742.2439801046376</v>
      </c>
      <c r="N15" s="459">
        <f t="shared" ca="1" si="1"/>
        <v>5916.1997693093708</v>
      </c>
      <c r="O15" s="459">
        <f t="shared" si="1"/>
        <v>23.450000000000003</v>
      </c>
      <c r="P15" s="459">
        <f t="shared" si="1"/>
        <v>305.06666666666666</v>
      </c>
      <c r="Q15" s="459">
        <f t="shared" ca="1" si="1"/>
        <v>136450.75638264589</v>
      </c>
    </row>
    <row r="17" spans="1:17">
      <c r="A17" s="462" t="s">
        <v>563</v>
      </c>
      <c r="B17" s="766">
        <f ca="1">huishoudens!B10</f>
        <v>0.20941417845473939</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3744.8541635180445</v>
      </c>
      <c r="C22" s="449">
        <f t="shared" ref="C22:C32" ca="1" si="3">C4*$C$17</f>
        <v>0</v>
      </c>
      <c r="D22" s="449">
        <f t="shared" ref="D22:D32" si="4">D4*$D$17</f>
        <v>2544.3412959800007</v>
      </c>
      <c r="E22" s="449">
        <f t="shared" ref="E22:E32" si="5">E4*$E$17</f>
        <v>305.68275148609592</v>
      </c>
      <c r="F22" s="449">
        <f t="shared" ref="F22:F32" si="6">F4*$F$17</f>
        <v>10961.561033598096</v>
      </c>
      <c r="G22" s="449">
        <f t="shared" ref="G22:G32" si="7">G4*$G$17</f>
        <v>0</v>
      </c>
      <c r="H22" s="449">
        <f t="shared" ref="H22:H32" si="8">H4*$H$17</f>
        <v>0</v>
      </c>
      <c r="I22" s="449">
        <f t="shared" ref="I22:I32" si="9">I4*$I$17</f>
        <v>0</v>
      </c>
      <c r="J22" s="449">
        <f t="shared" ref="J22:J32" si="10">J4*$J$17</f>
        <v>263.70176676892885</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17820.141011351167</v>
      </c>
    </row>
    <row r="23" spans="1:17">
      <c r="A23" s="448" t="s">
        <v>155</v>
      </c>
      <c r="B23" s="449">
        <f t="shared" ca="1" si="2"/>
        <v>1092.9740613626188</v>
      </c>
      <c r="C23" s="449">
        <f t="shared" ca="1" si="3"/>
        <v>0</v>
      </c>
      <c r="D23" s="449">
        <f t="shared" ca="1" si="4"/>
        <v>596.42420494800001</v>
      </c>
      <c r="E23" s="449">
        <f t="shared" si="5"/>
        <v>9.5229162555448053</v>
      </c>
      <c r="F23" s="449">
        <f t="shared" ca="1" si="6"/>
        <v>296.57008526143039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1995.4912678275941</v>
      </c>
    </row>
    <row r="24" spans="1:17">
      <c r="A24" s="448" t="s">
        <v>193</v>
      </c>
      <c r="B24" s="449">
        <f t="shared" ca="1" si="2"/>
        <v>123.94450390275743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123.94450390275743</v>
      </c>
    </row>
    <row r="25" spans="1:17">
      <c r="A25" s="448" t="s">
        <v>111</v>
      </c>
      <c r="B25" s="449">
        <f t="shared" ca="1" si="2"/>
        <v>143.46064884966842</v>
      </c>
      <c r="C25" s="449">
        <f t="shared" ca="1" si="3"/>
        <v>0</v>
      </c>
      <c r="D25" s="449">
        <f t="shared" si="4"/>
        <v>11.912679724000002</v>
      </c>
      <c r="E25" s="449">
        <f t="shared" si="5"/>
        <v>1.4649889791170072</v>
      </c>
      <c r="F25" s="449">
        <f t="shared" si="6"/>
        <v>596.89674716758839</v>
      </c>
      <c r="G25" s="449">
        <f t="shared" si="7"/>
        <v>0</v>
      </c>
      <c r="H25" s="449">
        <f t="shared" si="8"/>
        <v>0</v>
      </c>
      <c r="I25" s="449">
        <f t="shared" si="9"/>
        <v>0</v>
      </c>
      <c r="J25" s="449">
        <f t="shared" si="10"/>
        <v>29.999688587879206</v>
      </c>
      <c r="K25" s="449">
        <f t="shared" si="11"/>
        <v>0</v>
      </c>
      <c r="L25" s="449">
        <f t="shared" si="12"/>
        <v>0</v>
      </c>
      <c r="M25" s="449">
        <f t="shared" si="13"/>
        <v>0</v>
      </c>
      <c r="N25" s="449">
        <f t="shared" si="14"/>
        <v>0</v>
      </c>
      <c r="O25" s="449">
        <f t="shared" si="15"/>
        <v>0</v>
      </c>
      <c r="P25" s="450">
        <f t="shared" si="16"/>
        <v>0</v>
      </c>
      <c r="Q25" s="448">
        <f t="shared" ca="1" si="17"/>
        <v>783.73475330825306</v>
      </c>
    </row>
    <row r="26" spans="1:17">
      <c r="A26" s="448" t="s">
        <v>671</v>
      </c>
      <c r="B26" s="449">
        <f t="shared" ca="1" si="2"/>
        <v>172.90763296726004</v>
      </c>
      <c r="C26" s="449">
        <f t="shared" ca="1" si="3"/>
        <v>0</v>
      </c>
      <c r="D26" s="449">
        <f t="shared" si="4"/>
        <v>68.187478348000013</v>
      </c>
      <c r="E26" s="449">
        <f t="shared" si="5"/>
        <v>1.3546039525689353</v>
      </c>
      <c r="F26" s="449">
        <f t="shared" si="6"/>
        <v>119.72040433023287</v>
      </c>
      <c r="G26" s="449">
        <f t="shared" si="7"/>
        <v>0</v>
      </c>
      <c r="H26" s="449">
        <f t="shared" si="8"/>
        <v>0</v>
      </c>
      <c r="I26" s="449">
        <f t="shared" si="9"/>
        <v>0</v>
      </c>
      <c r="J26" s="449">
        <f t="shared" si="10"/>
        <v>0.33343421020993091</v>
      </c>
      <c r="K26" s="449">
        <f t="shared" si="11"/>
        <v>0</v>
      </c>
      <c r="L26" s="449">
        <f t="shared" si="12"/>
        <v>0</v>
      </c>
      <c r="M26" s="449">
        <f t="shared" si="13"/>
        <v>0</v>
      </c>
      <c r="N26" s="449">
        <f t="shared" si="14"/>
        <v>0</v>
      </c>
      <c r="O26" s="449">
        <f t="shared" si="15"/>
        <v>0</v>
      </c>
      <c r="P26" s="450">
        <f t="shared" si="16"/>
        <v>0</v>
      </c>
      <c r="Q26" s="448">
        <f t="shared" ca="1" si="17"/>
        <v>362.50355380827182</v>
      </c>
    </row>
    <row r="27" spans="1:17" s="454" customFormat="1">
      <c r="A27" s="452" t="s">
        <v>568</v>
      </c>
      <c r="B27" s="760">
        <f t="shared" ca="1" si="2"/>
        <v>0.37721952944972803</v>
      </c>
      <c r="C27" s="453">
        <f t="shared" ca="1" si="3"/>
        <v>0</v>
      </c>
      <c r="D27" s="453">
        <f t="shared" si="4"/>
        <v>0.49261386148747049</v>
      </c>
      <c r="E27" s="453">
        <f t="shared" si="5"/>
        <v>35.113888710786938</v>
      </c>
      <c r="F27" s="453">
        <f t="shared" si="6"/>
        <v>0</v>
      </c>
      <c r="G27" s="453">
        <f t="shared" si="7"/>
        <v>8635.1083985034347</v>
      </c>
      <c r="H27" s="453">
        <f t="shared" si="8"/>
        <v>1451.950253754595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10123.042374359753</v>
      </c>
    </row>
    <row r="28" spans="1:17">
      <c r="A28" s="448" t="s">
        <v>558</v>
      </c>
      <c r="B28" s="449">
        <f t="shared" ca="1" si="2"/>
        <v>0.85760766175450109</v>
      </c>
      <c r="C28" s="449">
        <f t="shared" ca="1" si="3"/>
        <v>0</v>
      </c>
      <c r="D28" s="449">
        <f t="shared" si="4"/>
        <v>0</v>
      </c>
      <c r="E28" s="449">
        <f t="shared" si="5"/>
        <v>0</v>
      </c>
      <c r="F28" s="449">
        <f t="shared" si="6"/>
        <v>0</v>
      </c>
      <c r="G28" s="449">
        <f t="shared" si="7"/>
        <v>218.08819842598118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218.94580608773569</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49.282276272467641</v>
      </c>
      <c r="C32" s="449">
        <f t="shared" ca="1" si="3"/>
        <v>0</v>
      </c>
      <c r="D32" s="449">
        <f t="shared" si="4"/>
        <v>170.939672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220.22194827246764</v>
      </c>
    </row>
    <row r="33" spans="1:17" s="461" customFormat="1">
      <c r="A33" s="458" t="s">
        <v>562</v>
      </c>
      <c r="B33" s="459">
        <f ca="1">SUM(B22:B32)</f>
        <v>5328.658114064021</v>
      </c>
      <c r="C33" s="459">
        <f t="shared" ref="C33:Q33" ca="1" si="18">SUM(C22:C32)</f>
        <v>0</v>
      </c>
      <c r="D33" s="459">
        <f t="shared" ca="1" si="18"/>
        <v>3392.2979448614883</v>
      </c>
      <c r="E33" s="459">
        <f t="shared" si="18"/>
        <v>353.13914938411358</v>
      </c>
      <c r="F33" s="459">
        <f t="shared" ca="1" si="18"/>
        <v>11974.748270357348</v>
      </c>
      <c r="G33" s="459">
        <f t="shared" si="18"/>
        <v>8853.196596929416</v>
      </c>
      <c r="H33" s="459">
        <f t="shared" si="18"/>
        <v>1451.950253754595</v>
      </c>
      <c r="I33" s="459">
        <f t="shared" si="18"/>
        <v>0</v>
      </c>
      <c r="J33" s="459">
        <f t="shared" si="18"/>
        <v>294.03488956701801</v>
      </c>
      <c r="K33" s="459">
        <f t="shared" si="18"/>
        <v>0</v>
      </c>
      <c r="L33" s="459">
        <f t="shared" ca="1" si="18"/>
        <v>0</v>
      </c>
      <c r="M33" s="459">
        <f t="shared" si="18"/>
        <v>0</v>
      </c>
      <c r="N33" s="459">
        <f t="shared" ca="1" si="18"/>
        <v>0</v>
      </c>
      <c r="O33" s="459">
        <f t="shared" si="18"/>
        <v>0</v>
      </c>
      <c r="P33" s="459">
        <f t="shared" si="18"/>
        <v>0</v>
      </c>
      <c r="Q33" s="459">
        <f t="shared" ca="1" si="18"/>
        <v>31648.025218917999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1333.9708382422486</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1333.9708382422486</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0.20941417845473939</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0.20941417845473939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0.20941417845473939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0.20941417845473939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3385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2195</v>
      </c>
      <c r="C14" s="327"/>
      <c r="D14" s="327"/>
      <c r="E14" s="327"/>
      <c r="F14" s="327"/>
    </row>
    <row r="15" spans="1:6">
      <c r="A15" s="1295" t="s">
        <v>183</v>
      </c>
      <c r="B15" s="1296">
        <v>19</v>
      </c>
      <c r="C15" s="327"/>
      <c r="D15" s="327"/>
      <c r="E15" s="327"/>
      <c r="F15" s="327"/>
    </row>
    <row r="16" spans="1:6">
      <c r="A16" s="1295" t="s">
        <v>6</v>
      </c>
      <c r="B16" s="1296">
        <v>582</v>
      </c>
      <c r="C16" s="327"/>
      <c r="D16" s="327"/>
      <c r="E16" s="327"/>
      <c r="F16" s="327"/>
    </row>
    <row r="17" spans="1:6">
      <c r="A17" s="1295" t="s">
        <v>7</v>
      </c>
      <c r="B17" s="1296">
        <v>634</v>
      </c>
      <c r="C17" s="327"/>
      <c r="D17" s="327"/>
      <c r="E17" s="327"/>
      <c r="F17" s="327"/>
    </row>
    <row r="18" spans="1:6">
      <c r="A18" s="1295" t="s">
        <v>8</v>
      </c>
      <c r="B18" s="1296">
        <v>805</v>
      </c>
      <c r="C18" s="327"/>
      <c r="D18" s="327"/>
      <c r="E18" s="327"/>
      <c r="F18" s="327"/>
    </row>
    <row r="19" spans="1:6">
      <c r="A19" s="1295" t="s">
        <v>9</v>
      </c>
      <c r="B19" s="1296">
        <v>745</v>
      </c>
      <c r="C19" s="327"/>
      <c r="D19" s="327"/>
      <c r="E19" s="327"/>
      <c r="F19" s="327"/>
    </row>
    <row r="20" spans="1:6">
      <c r="A20" s="1295" t="s">
        <v>10</v>
      </c>
      <c r="B20" s="1296">
        <v>698</v>
      </c>
      <c r="C20" s="327"/>
      <c r="D20" s="327"/>
      <c r="E20" s="327"/>
      <c r="F20" s="327"/>
    </row>
    <row r="21" spans="1:6">
      <c r="A21" s="1295" t="s">
        <v>11</v>
      </c>
      <c r="B21" s="1296">
        <v>331</v>
      </c>
      <c r="C21" s="327"/>
      <c r="D21" s="327"/>
      <c r="E21" s="327"/>
      <c r="F21" s="327"/>
    </row>
    <row r="22" spans="1:6">
      <c r="A22" s="1295" t="s">
        <v>12</v>
      </c>
      <c r="B22" s="1296">
        <v>926</v>
      </c>
      <c r="C22" s="327"/>
      <c r="D22" s="327"/>
      <c r="E22" s="327"/>
      <c r="F22" s="327"/>
    </row>
    <row r="23" spans="1:6">
      <c r="A23" s="1295" t="s">
        <v>13</v>
      </c>
      <c r="B23" s="1296">
        <v>10</v>
      </c>
      <c r="C23" s="327"/>
      <c r="D23" s="327"/>
      <c r="E23" s="327"/>
      <c r="F23" s="327"/>
    </row>
    <row r="24" spans="1:6">
      <c r="A24" s="1295" t="s">
        <v>14</v>
      </c>
      <c r="B24" s="1296">
        <v>1</v>
      </c>
      <c r="C24" s="327"/>
      <c r="D24" s="327"/>
      <c r="E24" s="327"/>
      <c r="F24" s="327"/>
    </row>
    <row r="25" spans="1:6">
      <c r="A25" s="1295" t="s">
        <v>15</v>
      </c>
      <c r="B25" s="1296">
        <v>91</v>
      </c>
      <c r="C25" s="327"/>
      <c r="D25" s="327"/>
      <c r="E25" s="327"/>
      <c r="F25" s="327"/>
    </row>
    <row r="26" spans="1:6">
      <c r="A26" s="1295" t="s">
        <v>16</v>
      </c>
      <c r="B26" s="1296">
        <v>112</v>
      </c>
      <c r="C26" s="327"/>
      <c r="D26" s="327"/>
      <c r="E26" s="327"/>
      <c r="F26" s="327"/>
    </row>
    <row r="27" spans="1:6">
      <c r="A27" s="1295" t="s">
        <v>17</v>
      </c>
      <c r="B27" s="1296">
        <v>0</v>
      </c>
      <c r="C27" s="327"/>
      <c r="D27" s="327"/>
      <c r="E27" s="327"/>
      <c r="F27" s="327"/>
    </row>
    <row r="28" spans="1:6" s="44" customFormat="1">
      <c r="A28" s="1297" t="s">
        <v>18</v>
      </c>
      <c r="B28" s="1298">
        <v>17846</v>
      </c>
      <c r="C28" s="333"/>
      <c r="D28" s="333"/>
      <c r="E28" s="333"/>
      <c r="F28" s="333"/>
    </row>
    <row r="29" spans="1:6">
      <c r="A29" s="1297" t="s">
        <v>961</v>
      </c>
      <c r="B29" s="1298">
        <v>80</v>
      </c>
      <c r="C29" s="333"/>
      <c r="D29" s="333"/>
      <c r="E29" s="333"/>
      <c r="F29" s="333"/>
    </row>
    <row r="30" spans="1:6">
      <c r="A30" s="1290" t="s">
        <v>962</v>
      </c>
      <c r="B30" s="1299">
        <v>12</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10236</v>
      </c>
    </row>
    <row r="39" spans="1:6">
      <c r="A39" s="1295" t="s">
        <v>29</v>
      </c>
      <c r="B39" s="1295" t="s">
        <v>30</v>
      </c>
      <c r="C39" s="1296">
        <v>821</v>
      </c>
      <c r="D39" s="1296">
        <v>13964245</v>
      </c>
      <c r="E39" s="1296">
        <v>3418</v>
      </c>
      <c r="F39" s="1296">
        <v>16606429</v>
      </c>
    </row>
    <row r="40" spans="1:6">
      <c r="A40" s="1295" t="s">
        <v>29</v>
      </c>
      <c r="B40" s="1295" t="s">
        <v>28</v>
      </c>
      <c r="C40" s="1296">
        <v>0</v>
      </c>
      <c r="D40" s="1296">
        <v>0</v>
      </c>
      <c r="E40" s="1296">
        <v>0</v>
      </c>
      <c r="F40" s="1296">
        <v>0</v>
      </c>
    </row>
    <row r="41" spans="1:6">
      <c r="A41" s="1295" t="s">
        <v>31</v>
      </c>
      <c r="B41" s="1295" t="s">
        <v>32</v>
      </c>
      <c r="C41" s="1296">
        <v>11</v>
      </c>
      <c r="D41" s="1296">
        <v>332466</v>
      </c>
      <c r="E41" s="1296">
        <v>62</v>
      </c>
      <c r="F41" s="1296">
        <v>514501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3</v>
      </c>
      <c r="F44" s="1296">
        <v>41344</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v>
      </c>
      <c r="D48" s="1296">
        <v>41771</v>
      </c>
      <c r="E48" s="1296">
        <v>3</v>
      </c>
      <c r="F48" s="1296">
        <v>42627</v>
      </c>
    </row>
    <row r="49" spans="1:6">
      <c r="A49" s="1295" t="s">
        <v>31</v>
      </c>
      <c r="B49" s="1295" t="s">
        <v>39</v>
      </c>
      <c r="C49" s="1296">
        <v>0</v>
      </c>
      <c r="D49" s="1296">
        <v>0</v>
      </c>
      <c r="E49" s="1296">
        <v>0</v>
      </c>
      <c r="F49" s="1296">
        <v>0</v>
      </c>
    </row>
    <row r="50" spans="1:6">
      <c r="A50" s="1295" t="s">
        <v>31</v>
      </c>
      <c r="B50" s="1295" t="s">
        <v>40</v>
      </c>
      <c r="C50" s="1296">
        <v>0</v>
      </c>
      <c r="D50" s="1296">
        <v>0</v>
      </c>
      <c r="E50" s="1296">
        <v>9</v>
      </c>
      <c r="F50" s="1296">
        <v>227201</v>
      </c>
    </row>
    <row r="51" spans="1:6">
      <c r="A51" s="1295" t="s">
        <v>41</v>
      </c>
      <c r="B51" s="1295" t="s">
        <v>42</v>
      </c>
      <c r="C51" s="1296">
        <v>0</v>
      </c>
      <c r="D51" s="1296">
        <v>0</v>
      </c>
      <c r="E51" s="1296">
        <v>58</v>
      </c>
      <c r="F51" s="1296">
        <v>685057</v>
      </c>
    </row>
    <row r="52" spans="1:6">
      <c r="A52" s="1295" t="s">
        <v>41</v>
      </c>
      <c r="B52" s="1295" t="s">
        <v>28</v>
      </c>
      <c r="C52" s="1296">
        <v>2</v>
      </c>
      <c r="D52" s="1296">
        <v>65381</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3</v>
      </c>
      <c r="F54" s="1296">
        <v>591863</v>
      </c>
    </row>
    <row r="55" spans="1:6">
      <c r="A55" s="1295" t="s">
        <v>45</v>
      </c>
      <c r="B55" s="1295" t="s">
        <v>28</v>
      </c>
      <c r="C55" s="1296">
        <v>0</v>
      </c>
      <c r="D55" s="1296">
        <v>0</v>
      </c>
      <c r="E55" s="1296">
        <v>0</v>
      </c>
      <c r="F55" s="1296">
        <v>0</v>
      </c>
    </row>
    <row r="56" spans="1:6">
      <c r="A56" s="1295" t="s">
        <v>47</v>
      </c>
      <c r="B56" s="1295" t="s">
        <v>28</v>
      </c>
      <c r="C56" s="1296">
        <v>13</v>
      </c>
      <c r="D56" s="1296">
        <v>846236</v>
      </c>
      <c r="E56" s="1296">
        <v>38</v>
      </c>
      <c r="F56" s="1296">
        <v>235334</v>
      </c>
    </row>
    <row r="57" spans="1:6">
      <c r="A57" s="1295" t="s">
        <v>48</v>
      </c>
      <c r="B57" s="1295" t="s">
        <v>49</v>
      </c>
      <c r="C57" s="1296">
        <v>5</v>
      </c>
      <c r="D57" s="1296">
        <v>305724</v>
      </c>
      <c r="E57" s="1296">
        <v>30</v>
      </c>
      <c r="F57" s="1296">
        <v>813977</v>
      </c>
    </row>
    <row r="58" spans="1:6">
      <c r="A58" s="1295" t="s">
        <v>48</v>
      </c>
      <c r="B58" s="1295" t="s">
        <v>50</v>
      </c>
      <c r="C58" s="1296">
        <v>4</v>
      </c>
      <c r="D58" s="1296">
        <v>568667</v>
      </c>
      <c r="E58" s="1296">
        <v>16</v>
      </c>
      <c r="F58" s="1296">
        <v>576688</v>
      </c>
    </row>
    <row r="59" spans="1:6">
      <c r="A59" s="1295" t="s">
        <v>48</v>
      </c>
      <c r="B59" s="1295" t="s">
        <v>51</v>
      </c>
      <c r="C59" s="1296">
        <v>16</v>
      </c>
      <c r="D59" s="1296">
        <v>577073</v>
      </c>
      <c r="E59" s="1296">
        <v>83</v>
      </c>
      <c r="F59" s="1296">
        <v>1985412</v>
      </c>
    </row>
    <row r="60" spans="1:6">
      <c r="A60" s="1295" t="s">
        <v>48</v>
      </c>
      <c r="B60" s="1295" t="s">
        <v>52</v>
      </c>
      <c r="C60" s="1296">
        <v>7</v>
      </c>
      <c r="D60" s="1296">
        <v>216810</v>
      </c>
      <c r="E60" s="1296">
        <v>29</v>
      </c>
      <c r="F60" s="1296">
        <v>418308</v>
      </c>
    </row>
    <row r="61" spans="1:6">
      <c r="A61" s="1295" t="s">
        <v>48</v>
      </c>
      <c r="B61" s="1295" t="s">
        <v>53</v>
      </c>
      <c r="C61" s="1296">
        <v>29</v>
      </c>
      <c r="D61" s="1296">
        <v>1483921</v>
      </c>
      <c r="E61" s="1296">
        <v>144</v>
      </c>
      <c r="F61" s="1296">
        <v>1408489</v>
      </c>
    </row>
    <row r="62" spans="1:6">
      <c r="A62" s="1295" t="s">
        <v>48</v>
      </c>
      <c r="B62" s="1295" t="s">
        <v>54</v>
      </c>
      <c r="C62" s="1296">
        <v>0</v>
      </c>
      <c r="D62" s="1296">
        <v>0</v>
      </c>
      <c r="E62" s="1296">
        <v>3</v>
      </c>
      <c r="F62" s="1296">
        <v>16324</v>
      </c>
    </row>
    <row r="63" spans="1:6">
      <c r="A63" s="1295" t="s">
        <v>48</v>
      </c>
      <c r="B63" s="1295" t="s">
        <v>28</v>
      </c>
      <c r="C63" s="1296">
        <v>1</v>
      </c>
      <c r="D63" s="1296">
        <v>121192</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2</v>
      </c>
      <c r="F65" s="1296">
        <v>8645</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30895867</v>
      </c>
      <c r="E73" s="447"/>
      <c r="F73" s="327"/>
    </row>
    <row r="74" spans="1:6">
      <c r="A74" s="1295" t="s">
        <v>63</v>
      </c>
      <c r="B74" s="1295" t="s">
        <v>755</v>
      </c>
      <c r="C74" s="1309" t="s">
        <v>749</v>
      </c>
      <c r="D74" s="1310">
        <v>2974117.6219065506</v>
      </c>
      <c r="E74" s="447"/>
      <c r="F74" s="327"/>
    </row>
    <row r="75" spans="1:6">
      <c r="A75" s="1295" t="s">
        <v>64</v>
      </c>
      <c r="B75" s="1295" t="s">
        <v>754</v>
      </c>
      <c r="C75" s="1309" t="s">
        <v>750</v>
      </c>
      <c r="D75" s="1310">
        <v>13365733</v>
      </c>
      <c r="E75" s="447"/>
      <c r="F75" s="327"/>
    </row>
    <row r="76" spans="1:6">
      <c r="A76" s="1295" t="s">
        <v>64</v>
      </c>
      <c r="B76" s="1295" t="s">
        <v>755</v>
      </c>
      <c r="C76" s="1309" t="s">
        <v>751</v>
      </c>
      <c r="D76" s="1310">
        <v>228871.62190655078</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225620.75618689848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1276.0954362688572</v>
      </c>
      <c r="C91" s="327"/>
      <c r="D91" s="327"/>
      <c r="E91" s="327"/>
      <c r="F91" s="327"/>
    </row>
    <row r="92" spans="1:6">
      <c r="A92" s="1290" t="s">
        <v>68</v>
      </c>
      <c r="B92" s="1291">
        <v>57.875401973391391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168</v>
      </c>
      <c r="C97" s="327"/>
      <c r="D97" s="327"/>
      <c r="E97" s="327"/>
      <c r="F97" s="327"/>
    </row>
    <row r="98" spans="1:6">
      <c r="A98" s="1295" t="s">
        <v>71</v>
      </c>
      <c r="B98" s="1296">
        <v>2</v>
      </c>
      <c r="C98" s="327"/>
      <c r="D98" s="327"/>
      <c r="E98" s="327"/>
      <c r="F98" s="327"/>
    </row>
    <row r="99" spans="1:6">
      <c r="A99" s="1295" t="s">
        <v>72</v>
      </c>
      <c r="B99" s="1296">
        <v>105</v>
      </c>
      <c r="C99" s="327"/>
      <c r="D99" s="327"/>
      <c r="E99" s="327"/>
      <c r="F99" s="327"/>
    </row>
    <row r="100" spans="1:6">
      <c r="A100" s="1295" t="s">
        <v>73</v>
      </c>
      <c r="B100" s="1296">
        <v>325</v>
      </c>
      <c r="C100" s="327"/>
      <c r="D100" s="327"/>
      <c r="E100" s="327"/>
      <c r="F100" s="327"/>
    </row>
    <row r="101" spans="1:6">
      <c r="A101" s="1295" t="s">
        <v>74</v>
      </c>
      <c r="B101" s="1296">
        <v>72</v>
      </c>
      <c r="C101" s="327"/>
      <c r="D101" s="327"/>
      <c r="E101" s="327"/>
      <c r="F101" s="327"/>
    </row>
    <row r="102" spans="1:6">
      <c r="A102" s="1295" t="s">
        <v>75</v>
      </c>
      <c r="B102" s="1296">
        <v>36</v>
      </c>
      <c r="C102" s="327"/>
      <c r="D102" s="327"/>
      <c r="E102" s="327"/>
      <c r="F102" s="327"/>
    </row>
    <row r="103" spans="1:6">
      <c r="A103" s="1295" t="s">
        <v>76</v>
      </c>
      <c r="B103" s="1296">
        <v>129</v>
      </c>
      <c r="C103" s="327"/>
      <c r="D103" s="327"/>
      <c r="E103" s="327"/>
      <c r="F103" s="327"/>
    </row>
    <row r="104" spans="1:6">
      <c r="A104" s="1295" t="s">
        <v>77</v>
      </c>
      <c r="B104" s="1296">
        <v>2144</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6</v>
      </c>
      <c r="C123" s="1296">
        <v>2</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12</v>
      </c>
      <c r="C129" s="327"/>
      <c r="D129" s="327"/>
      <c r="E129" s="327"/>
      <c r="F129" s="327"/>
    </row>
    <row r="130" spans="1:6">
      <c r="A130" s="1295" t="s">
        <v>290</v>
      </c>
      <c r="B130" s="1296">
        <v>1</v>
      </c>
      <c r="C130" s="327"/>
      <c r="D130" s="327"/>
      <c r="E130" s="327"/>
      <c r="F130" s="327"/>
    </row>
    <row r="131" spans="1:6">
      <c r="A131" s="1295" t="s">
        <v>291</v>
      </c>
      <c r="B131" s="1296">
        <v>0</v>
      </c>
      <c r="C131" s="327"/>
      <c r="D131" s="327"/>
      <c r="E131" s="327"/>
      <c r="F131" s="327"/>
    </row>
    <row r="132" spans="1:6">
      <c r="A132" s="1290" t="s">
        <v>292</v>
      </c>
      <c r="B132" s="1291">
        <v>10</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25445.546015002517</v>
      </c>
      <c r="C3" s="44" t="s">
        <v>169</v>
      </c>
      <c r="D3" s="44"/>
      <c r="E3" s="157"/>
      <c r="F3" s="44"/>
      <c r="G3" s="44"/>
      <c r="H3" s="44"/>
      <c r="I3" s="44"/>
      <c r="J3" s="44"/>
      <c r="K3" s="97"/>
    </row>
    <row r="4" spans="1:11">
      <c r="A4" s="354" t="s">
        <v>170</v>
      </c>
      <c r="B4" s="50">
        <f>IF(ISERROR('SEAP template'!B78+'SEAP template'!C78),0,'SEAP template'!B78+'SEAP template'!C78)</f>
        <v>1333.9708382422486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0.20941417845473939</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591.86300000000006</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591.86300000000006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0.20941417845473939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123.94450390275743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16606.429</v>
      </c>
      <c r="C5" s="18">
        <f>IF(ISERROR('Eigen informatie GS &amp; warmtenet'!B57),0,'Eigen informatie GS &amp; warmtenet'!B57)</f>
        <v>0</v>
      </c>
      <c r="D5" s="31">
        <f>(SUM(HH_hh_gas_kWh,HH_rest_gas_kWh)/1000)*0.902</f>
        <v>12595.748990000002</v>
      </c>
      <c r="E5" s="18">
        <f>B32*B41</f>
        <v>1346.6200505995414</v>
      </c>
      <c r="F5" s="18">
        <f>B36*B45</f>
        <v>41054.535706359908</v>
      </c>
      <c r="G5" s="19"/>
      <c r="H5" s="18"/>
      <c r="I5" s="18"/>
      <c r="J5" s="18">
        <f>B35*B44+C35*C44</f>
        <v>744.92024510996862</v>
      </c>
      <c r="K5" s="18"/>
      <c r="L5" s="18"/>
      <c r="M5" s="18"/>
      <c r="N5" s="18">
        <f>B34*B43+C34*C43</f>
        <v>5387.622148295075</v>
      </c>
      <c r="O5" s="18">
        <f>B52*B53*B54</f>
        <v>21.88666666666667</v>
      </c>
      <c r="P5" s="18">
        <f>B60*B61*B62/1000-B60*B61*B62/1000/B63</f>
        <v>305.06666666666666</v>
      </c>
    </row>
    <row r="6" spans="1:16">
      <c r="A6" s="17" t="s">
        <v>628</v>
      </c>
      <c r="B6" s="768">
        <f>kWh_PV_kleiner_dan_10kW</f>
        <v>1276.0954362688572</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17882.524436268857</v>
      </c>
      <c r="C8" s="22">
        <f>C5</f>
        <v>0</v>
      </c>
      <c r="D8" s="22">
        <f>D5</f>
        <v>12595.748990000002</v>
      </c>
      <c r="E8" s="22">
        <f>E5</f>
        <v>1346.6200505995414</v>
      </c>
      <c r="F8" s="22">
        <f>F5</f>
        <v>41054.535706359908</v>
      </c>
      <c r="G8" s="22"/>
      <c r="H8" s="22"/>
      <c r="I8" s="22"/>
      <c r="J8" s="22">
        <f>J5</f>
        <v>744.92024510996862</v>
      </c>
      <c r="K8" s="22"/>
      <c r="L8" s="22">
        <f>L5</f>
        <v>0</v>
      </c>
      <c r="M8" s="22">
        <f>M5</f>
        <v>0</v>
      </c>
      <c r="N8" s="22">
        <f>N5</f>
        <v>5387.622148295075</v>
      </c>
      <c r="O8" s="22">
        <f>O5</f>
        <v>21.88666666666667</v>
      </c>
      <c r="P8" s="22">
        <f>P5</f>
        <v>305.06666666666666</v>
      </c>
    </row>
    <row r="9" spans="1:16">
      <c r="B9" s="20"/>
      <c r="C9" s="20"/>
      <c r="D9" s="258"/>
      <c r="E9" s="20"/>
      <c r="F9" s="20"/>
      <c r="G9" s="20"/>
      <c r="H9" s="20"/>
      <c r="I9" s="20"/>
      <c r="J9" s="20"/>
      <c r="K9" s="20"/>
      <c r="L9" s="20"/>
      <c r="M9" s="20"/>
      <c r="N9" s="20"/>
      <c r="O9" s="20"/>
      <c r="P9" s="20"/>
    </row>
    <row r="10" spans="1:16">
      <c r="A10" s="25" t="s">
        <v>213</v>
      </c>
      <c r="B10" s="26">
        <f ca="1">'EF ele_warmte'!B12</f>
        <v>0.20941417845473939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3744.8541635180445</v>
      </c>
      <c r="C12" s="24">
        <f ca="1">C10*C8</f>
        <v>0</v>
      </c>
      <c r="D12" s="24">
        <f>D8*D10</f>
        <v>2544.3412959800007</v>
      </c>
      <c r="E12" s="24">
        <f>E10*E8</f>
        <v>305.68275148609592</v>
      </c>
      <c r="F12" s="24">
        <f>F10*F8</f>
        <v>10961.561033598096</v>
      </c>
      <c r="G12" s="24"/>
      <c r="H12" s="24"/>
      <c r="I12" s="24"/>
      <c r="J12" s="24">
        <f>J10*J8</f>
        <v>263.70176676892885</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3385</v>
      </c>
      <c r="C26" s="37"/>
      <c r="D26" s="228"/>
    </row>
    <row r="27" spans="1:5" s="16" customFormat="1">
      <c r="A27" s="230" t="s">
        <v>654</v>
      </c>
      <c r="B27" s="38">
        <f>SUM(HH_hh_gas_aantal,HH_rest_gas_aantal)</f>
        <v>821</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779.95</v>
      </c>
      <c r="C31" s="35" t="s">
        <v>110</v>
      </c>
      <c r="D31" s="174"/>
    </row>
    <row r="32" spans="1:5">
      <c r="A32" s="171" t="s">
        <v>72</v>
      </c>
      <c r="B32" s="34">
        <f>IF((B21*($B$26-($B$27-0.05*$B$27)-$B$60))&lt;0,0,B21*($B$26-($B$27-0.05*$B$27)-$B$60))</f>
        <v>63.626759608035115</v>
      </c>
      <c r="C32" s="35" t="s">
        <v>110</v>
      </c>
      <c r="D32" s="174"/>
    </row>
    <row r="33" spans="1:6">
      <c r="A33" s="171" t="s">
        <v>73</v>
      </c>
      <c r="B33" s="34">
        <f>IF((B22*($B$26-($B$27-0.05*$B$27)-$B$60))&lt;0,0,B22*($B$26-($B$27-0.05*$B$27)-$B$60))</f>
        <v>428.28271613939449</v>
      </c>
      <c r="C33" s="35" t="s">
        <v>110</v>
      </c>
      <c r="D33" s="174"/>
    </row>
    <row r="34" spans="1:6">
      <c r="A34" s="171" t="s">
        <v>74</v>
      </c>
      <c r="B34" s="34">
        <f>IF((B24*($B$26-($B$27-0.05*$B$27)-$B$60))&lt;0,0,B24*($B$26-($B$27-0.05*$B$27)-$B$60))</f>
        <v>108.62152419463209</v>
      </c>
      <c r="C34" s="34">
        <f>B26*C24</f>
        <v>692.24037915980955</v>
      </c>
      <c r="D34" s="233"/>
    </row>
    <row r="35" spans="1:6">
      <c r="A35" s="171" t="s">
        <v>76</v>
      </c>
      <c r="B35" s="34">
        <f>IF((B19*($B$26-($B$27-0.05*$B$27)-$B$60))&lt;0,0,B19*($B$26-($B$27-0.05*$B$27)-$B$60))</f>
        <v>40.382045269749867</v>
      </c>
      <c r="C35" s="34">
        <f>B35/2</f>
        <v>20.191022634874933</v>
      </c>
      <c r="D35" s="233"/>
    </row>
    <row r="36" spans="1:6">
      <c r="A36" s="171" t="s">
        <v>77</v>
      </c>
      <c r="B36" s="34">
        <f>IF((B18*($B$26-($B$27-0.05*$B$27)-$B$60))&lt;0,0,B18*($B$26-($B$27-0.05*$B$27)-$B$60))</f>
        <v>1948.1369547881879</v>
      </c>
      <c r="C36" s="35" t="s">
        <v>110</v>
      </c>
      <c r="D36" s="174"/>
    </row>
    <row r="37" spans="1:6">
      <c r="A37" s="171" t="s">
        <v>78</v>
      </c>
      <c r="B37" s="34">
        <f>B60</f>
        <v>16</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14</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16</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5219.1979999999994</v>
      </c>
      <c r="C5" s="18">
        <f>IF(ISERROR('Eigen informatie GS &amp; warmtenet'!B58),0,'Eigen informatie GS &amp; warmtenet'!B58)</f>
        <v>0</v>
      </c>
      <c r="D5" s="31">
        <f>SUM(D6:D12)</f>
        <v>2952.5950739999998</v>
      </c>
      <c r="E5" s="18">
        <f>SUM(E6:E12)</f>
        <v>41.951172931915437</v>
      </c>
      <c r="F5" s="18">
        <f>SUM(F6:F12)</f>
        <v>1110.7493830016119</v>
      </c>
      <c r="G5" s="19"/>
      <c r="H5" s="18"/>
      <c r="I5" s="18"/>
      <c r="J5" s="18">
        <f>SUM(J6:J12)</f>
        <v>0</v>
      </c>
      <c r="K5" s="18"/>
      <c r="L5" s="18"/>
      <c r="M5" s="18"/>
      <c r="N5" s="18">
        <f>SUM(N6:N12)</f>
        <v>484.78145228072987</v>
      </c>
      <c r="O5" s="18">
        <f>B38*B39*B40</f>
        <v>1.5633333333333335</v>
      </c>
      <c r="P5" s="18">
        <f>B46*B47*B48/1000-B46*B47*B48/1000/B49</f>
        <v>0</v>
      </c>
      <c r="R5" s="33"/>
    </row>
    <row r="6" spans="1:18">
      <c r="A6" s="33" t="s">
        <v>53</v>
      </c>
      <c r="B6" s="38">
        <f>B26</f>
        <v>1408.489</v>
      </c>
      <c r="C6" s="34"/>
      <c r="D6" s="38">
        <f>IF(ISERROR(TER_kantoor_gas_kWh/1000),0,TER_kantoor_gas_kWh/1000)*0.902</f>
        <v>1338.496742</v>
      </c>
      <c r="E6" s="34">
        <f>$C$26*'E Balans VL '!I12/100/3.6*1000000</f>
        <v>2.3116159157038529</v>
      </c>
      <c r="F6" s="34">
        <f>$C$26*('E Balans VL '!L12+'E Balans VL '!N12)/100/3.6*1000000</f>
        <v>166.02771315347968</v>
      </c>
      <c r="G6" s="35"/>
      <c r="H6" s="34"/>
      <c r="I6" s="34"/>
      <c r="J6" s="34">
        <f>$C$26*('E Balans VL '!D12+'E Balans VL '!E12)/100/3.6*1000000</f>
        <v>0</v>
      </c>
      <c r="K6" s="34"/>
      <c r="L6" s="34"/>
      <c r="M6" s="34"/>
      <c r="N6" s="34">
        <f>$C$26*'E Balans VL '!Y12/100/3.6*1000000</f>
        <v>0.2845785327085506</v>
      </c>
      <c r="O6" s="34"/>
      <c r="P6" s="34"/>
      <c r="R6" s="33"/>
    </row>
    <row r="7" spans="1:18">
      <c r="A7" s="33" t="s">
        <v>52</v>
      </c>
      <c r="B7" s="38">
        <f t="shared" ref="B7:B12" si="0">B27</f>
        <v>418.30799999999999</v>
      </c>
      <c r="C7" s="34"/>
      <c r="D7" s="38">
        <f>IF(ISERROR(TER_horeca_gas_kWh/1000),0,TER_horeca_gas_kWh/1000)*0.902</f>
        <v>195.56262000000001</v>
      </c>
      <c r="E7" s="34">
        <f>$C$27*'E Balans VL '!I9/100/3.6*1000000</f>
        <v>21.707158258537863</v>
      </c>
      <c r="F7" s="34">
        <f>$C$27*('E Balans VL '!L9+'E Balans VL '!N9)/100/3.6*1000000</f>
        <v>95.458189125789119</v>
      </c>
      <c r="G7" s="35"/>
      <c r="H7" s="34"/>
      <c r="I7" s="34"/>
      <c r="J7" s="34">
        <f>$C$27*('E Balans VL '!D9+'E Balans VL '!E9)/100/3.6*1000000</f>
        <v>0</v>
      </c>
      <c r="K7" s="34"/>
      <c r="L7" s="34"/>
      <c r="M7" s="34"/>
      <c r="N7" s="34">
        <f>$C$27*'E Balans VL '!Y9/100/3.6*1000000</f>
        <v>4.4173133101995721E-2</v>
      </c>
      <c r="O7" s="34"/>
      <c r="P7" s="34"/>
      <c r="R7" s="33"/>
    </row>
    <row r="8" spans="1:18">
      <c r="A8" s="6" t="s">
        <v>51</v>
      </c>
      <c r="B8" s="38">
        <f t="shared" si="0"/>
        <v>1985.412</v>
      </c>
      <c r="C8" s="34"/>
      <c r="D8" s="38">
        <f>IF(ISERROR(TER_handel_gas_kWh/1000),0,TER_handel_gas_kWh/1000)*0.902</f>
        <v>520.51984600000003</v>
      </c>
      <c r="E8" s="34">
        <f>$C$28*'E Balans VL '!I13/100/3.6*1000000</f>
        <v>10.69168759470794</v>
      </c>
      <c r="F8" s="34">
        <f>$C$28*('E Balans VL '!L13+'E Balans VL '!N13)/100/3.6*1000000</f>
        <v>404.88450793059917</v>
      </c>
      <c r="G8" s="35"/>
      <c r="H8" s="34"/>
      <c r="I8" s="34"/>
      <c r="J8" s="34">
        <f>$C$28*('E Balans VL '!D13+'E Balans VL '!E13)/100/3.6*1000000</f>
        <v>0</v>
      </c>
      <c r="K8" s="34"/>
      <c r="L8" s="34"/>
      <c r="M8" s="34"/>
      <c r="N8" s="34">
        <f>$C$28*'E Balans VL '!Y13/100/3.6*1000000</f>
        <v>9.87240540996196</v>
      </c>
      <c r="O8" s="34"/>
      <c r="P8" s="34"/>
      <c r="R8" s="33"/>
    </row>
    <row r="9" spans="1:18">
      <c r="A9" s="33" t="s">
        <v>50</v>
      </c>
      <c r="B9" s="38">
        <f t="shared" si="0"/>
        <v>576.68799999999999</v>
      </c>
      <c r="C9" s="34"/>
      <c r="D9" s="38">
        <f>IF(ISERROR(TER_gezond_gas_kWh/1000),0,TER_gezond_gas_kWh/1000)*0.902</f>
        <v>512.937634</v>
      </c>
      <c r="E9" s="34">
        <f>$C$29*'E Balans VL '!I10/100/3.6*1000000</f>
        <v>0.57150436606879473</v>
      </c>
      <c r="F9" s="34">
        <f>$C$29*('E Balans VL '!L10+'E Balans VL '!N10)/100/3.6*1000000</f>
        <v>200.0941136061075</v>
      </c>
      <c r="G9" s="35"/>
      <c r="H9" s="34"/>
      <c r="I9" s="34"/>
      <c r="J9" s="34">
        <f>$C$29*('E Balans VL '!D10+'E Balans VL '!E10)/100/3.6*1000000</f>
        <v>0</v>
      </c>
      <c r="K9" s="34"/>
      <c r="L9" s="34"/>
      <c r="M9" s="34"/>
      <c r="N9" s="34">
        <f>$C$29*'E Balans VL '!Y10/100/3.6*1000000</f>
        <v>4.9692705377580761</v>
      </c>
      <c r="O9" s="34"/>
      <c r="P9" s="34"/>
      <c r="R9" s="33"/>
    </row>
    <row r="10" spans="1:18">
      <c r="A10" s="33" t="s">
        <v>49</v>
      </c>
      <c r="B10" s="38">
        <f t="shared" si="0"/>
        <v>813.97699999999998</v>
      </c>
      <c r="C10" s="34"/>
      <c r="D10" s="38">
        <f>IF(ISERROR(TER_ander_gas_kWh/1000),0,TER_ander_gas_kWh/1000)*0.902</f>
        <v>275.76304800000003</v>
      </c>
      <c r="E10" s="34">
        <f>$C$30*'E Balans VL '!I14/100/3.6*1000000</f>
        <v>6.6591453720749296</v>
      </c>
      <c r="F10" s="34">
        <f>$C$30*('E Balans VL '!L14+'E Balans VL '!N14)/100/3.6*1000000</f>
        <v>237.97373642385449</v>
      </c>
      <c r="G10" s="35"/>
      <c r="H10" s="34"/>
      <c r="I10" s="34"/>
      <c r="J10" s="34">
        <f>$C$30*('E Balans VL '!D14+'E Balans VL '!E14)/100/3.6*1000000</f>
        <v>0</v>
      </c>
      <c r="K10" s="34"/>
      <c r="L10" s="34"/>
      <c r="M10" s="34"/>
      <c r="N10" s="34">
        <f>$C$30*'E Balans VL '!Y14/100/3.6*1000000</f>
        <v>469.55792619335779</v>
      </c>
      <c r="O10" s="34"/>
      <c r="P10" s="34"/>
      <c r="R10" s="33"/>
    </row>
    <row r="11" spans="1:18">
      <c r="A11" s="33" t="s">
        <v>54</v>
      </c>
      <c r="B11" s="38">
        <f t="shared" si="0"/>
        <v>16.324000000000002</v>
      </c>
      <c r="C11" s="34"/>
      <c r="D11" s="38">
        <f>IF(ISERROR(TER_onderwijs_gas_kWh/1000),0,TER_onderwijs_gas_kWh/1000)*0.902</f>
        <v>0</v>
      </c>
      <c r="E11" s="34">
        <f>$C$31*'E Balans VL '!I11/100/3.6*1000000</f>
        <v>1.0061424822056875E-2</v>
      </c>
      <c r="F11" s="34">
        <f>$C$31*('E Balans VL '!L11+'E Balans VL '!N11)/100/3.6*1000000</f>
        <v>6.3111227617818946</v>
      </c>
      <c r="G11" s="35"/>
      <c r="H11" s="34"/>
      <c r="I11" s="34"/>
      <c r="J11" s="34">
        <f>$C$31*('E Balans VL '!D11+'E Balans VL '!E11)/100/3.6*1000000</f>
        <v>0</v>
      </c>
      <c r="K11" s="34"/>
      <c r="L11" s="34"/>
      <c r="M11" s="34"/>
      <c r="N11" s="34">
        <f>$C$31*'E Balans VL '!Y11/100/3.6*1000000</f>
        <v>5.3098473841490731E-2</v>
      </c>
      <c r="O11" s="34"/>
      <c r="P11" s="34"/>
      <c r="R11" s="33"/>
    </row>
    <row r="12" spans="1:18">
      <c r="A12" s="33" t="s">
        <v>255</v>
      </c>
      <c r="B12" s="38">
        <f t="shared" si="0"/>
        <v>0</v>
      </c>
      <c r="C12" s="34"/>
      <c r="D12" s="38">
        <f>IF(ISERROR(TER_rest_gas_kWh/1000),0,TER_rest_gas_kWh/1000)*0.902</f>
        <v>109.315184</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5219.1979999999994</v>
      </c>
      <c r="C16" s="22">
        <f t="shared" ca="1" si="1"/>
        <v>0</v>
      </c>
      <c r="D16" s="22">
        <f t="shared" ca="1" si="1"/>
        <v>2952.5950739999998</v>
      </c>
      <c r="E16" s="22">
        <f t="shared" si="1"/>
        <v>41.951172931915437</v>
      </c>
      <c r="F16" s="22">
        <f t="shared" ca="1" si="1"/>
        <v>1110.7493830016119</v>
      </c>
      <c r="G16" s="22">
        <f t="shared" si="1"/>
        <v>0</v>
      </c>
      <c r="H16" s="22">
        <f t="shared" si="1"/>
        <v>0</v>
      </c>
      <c r="I16" s="22">
        <f t="shared" si="1"/>
        <v>0</v>
      </c>
      <c r="J16" s="22">
        <f t="shared" si="1"/>
        <v>0</v>
      </c>
      <c r="K16" s="22">
        <f t="shared" si="1"/>
        <v>0</v>
      </c>
      <c r="L16" s="22">
        <f t="shared" ca="1" si="1"/>
        <v>0</v>
      </c>
      <c r="M16" s="22">
        <f t="shared" si="1"/>
        <v>0</v>
      </c>
      <c r="N16" s="22">
        <f t="shared" ca="1" si="1"/>
        <v>484.78145228072987</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0.20941417845473939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1092.9740613626188</v>
      </c>
      <c r="C20" s="24">
        <f t="shared" ref="C20:P20" ca="1" si="2">C16*C18</f>
        <v>0</v>
      </c>
      <c r="D20" s="24">
        <f t="shared" ca="1" si="2"/>
        <v>596.42420494800001</v>
      </c>
      <c r="E20" s="24">
        <f t="shared" si="2"/>
        <v>9.5229162555448053</v>
      </c>
      <c r="F20" s="24">
        <f t="shared" ca="1" si="2"/>
        <v>296.57008526143039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1408.489</v>
      </c>
      <c r="C26" s="40">
        <f>IF(ISERROR(B26*3.6/1000000/'E Balans VL '!Z12*100),0,B26*3.6/1000000/'E Balans VL '!Z12*100)</f>
        <v>2.9929381178813389E-2</v>
      </c>
      <c r="D26" s="236" t="s">
        <v>691</v>
      </c>
      <c r="F26" s="6"/>
    </row>
    <row r="27" spans="1:18">
      <c r="A27" s="231" t="s">
        <v>52</v>
      </c>
      <c r="B27" s="34">
        <f>IF(ISERROR(TER_horeca_ele_kWh/1000),0,TER_horeca_ele_kWh/1000)</f>
        <v>418.30799999999999</v>
      </c>
      <c r="C27" s="40">
        <f>IF(ISERROR(B27*3.6/1000000/'E Balans VL '!Z9*100),0,B27*3.6/1000000/'E Balans VL '!Z9*100)</f>
        <v>3.2924074361735937E-2</v>
      </c>
      <c r="D27" s="236" t="s">
        <v>691</v>
      </c>
      <c r="F27" s="6"/>
    </row>
    <row r="28" spans="1:18">
      <c r="A28" s="171" t="s">
        <v>51</v>
      </c>
      <c r="B28" s="34">
        <f>IF(ISERROR(TER_handel_ele_kWh/1000),0,TER_handel_ele_kWh/1000)</f>
        <v>1985.412</v>
      </c>
      <c r="C28" s="40">
        <f>IF(ISERROR(B28*3.6/1000000/'E Balans VL '!Z13*100),0,B28*3.6/1000000/'E Balans VL '!Z13*100)</f>
        <v>5.561245267055321E-2</v>
      </c>
      <c r="D28" s="236" t="s">
        <v>691</v>
      </c>
      <c r="F28" s="6"/>
    </row>
    <row r="29" spans="1:18">
      <c r="A29" s="231" t="s">
        <v>50</v>
      </c>
      <c r="B29" s="34">
        <f>IF(ISERROR(TER_gezond_ele_kWh/1000),0,TER_gezond_ele_kWh/1000)</f>
        <v>576.68799999999999</v>
      </c>
      <c r="C29" s="40">
        <f>IF(ISERROR(B29*3.6/1000000/'E Balans VL '!Z10*100),0,B29*3.6/1000000/'E Balans VL '!Z10*100)</f>
        <v>7.3775833542801358E-2</v>
      </c>
      <c r="D29" s="236" t="s">
        <v>691</v>
      </c>
      <c r="F29" s="6"/>
    </row>
    <row r="30" spans="1:18">
      <c r="A30" s="231" t="s">
        <v>49</v>
      </c>
      <c r="B30" s="34">
        <f>IF(ISERROR(TER_ander_ele_kWh/1000),0,TER_ander_ele_kWh/1000)</f>
        <v>813.97699999999998</v>
      </c>
      <c r="C30" s="40">
        <f>IF(ISERROR(B30*3.6/1000000/'E Balans VL '!Z14*100),0,B30*3.6/1000000/'E Balans VL '!Z14*100)</f>
        <v>6.0878620909984228E-2</v>
      </c>
      <c r="D30" s="236" t="s">
        <v>691</v>
      </c>
      <c r="F30" s="6"/>
    </row>
    <row r="31" spans="1:18">
      <c r="A31" s="231" t="s">
        <v>54</v>
      </c>
      <c r="B31" s="34">
        <f>IF(ISERROR(TER_onderwijs_ele_kWh/1000),0,TER_onderwijs_ele_kWh/1000)</f>
        <v>16.324000000000002</v>
      </c>
      <c r="C31" s="40">
        <f>IF(ISERROR(B31*3.6/1000000/'E Balans VL '!Z11*100),0,B31*3.6/1000000/'E Balans VL '!Z11*100)</f>
        <v>3.4468337449847929E-3</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825.673</v>
      </c>
      <c r="C5" s="18">
        <f>IF(ISERROR('Eigen informatie GS &amp; warmtenet'!B59),0,'Eigen informatie GS &amp; warmtenet'!B59)</f>
        <v>0</v>
      </c>
      <c r="D5" s="31">
        <f>SUM(D6:D15)</f>
        <v>337.56177400000001</v>
      </c>
      <c r="E5" s="18">
        <f>SUM(E6:E15)</f>
        <v>5.9674182932552213</v>
      </c>
      <c r="F5" s="18">
        <f>SUM(F6:F15)</f>
        <v>448.39102745405563</v>
      </c>
      <c r="G5" s="19"/>
      <c r="H5" s="18"/>
      <c r="I5" s="18"/>
      <c r="J5" s="18">
        <f>SUM(J6:J15)</f>
        <v>0.94190454861562412</v>
      </c>
      <c r="K5" s="18"/>
      <c r="L5" s="18"/>
      <c r="M5" s="18"/>
      <c r="N5" s="18">
        <f>SUM(N6:N15)</f>
        <v>43.79616873356543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41.344000000000001</v>
      </c>
      <c r="C8" s="34"/>
      <c r="D8" s="38">
        <f>IF( ISERROR(IND_metaal_Gas_kWH/1000),0,IND_metaal_Gas_kWH/1000)*0.902</f>
        <v>0</v>
      </c>
      <c r="E8" s="34">
        <f>C30*'E Balans VL '!I18/100/3.6*1000000</f>
        <v>0.37651235730041832</v>
      </c>
      <c r="F8" s="34">
        <f>C30*'E Balans VL '!L18/100/3.6*1000000+C30*'E Balans VL '!N18/100/3.6*1000000</f>
        <v>5.4529596282713664</v>
      </c>
      <c r="G8" s="35"/>
      <c r="H8" s="34"/>
      <c r="I8" s="34"/>
      <c r="J8" s="41">
        <f>C30*'E Balans VL '!D18/100/3.6*1000000+C30*'E Balans VL '!E18/100/3.6*1000000</f>
        <v>0.67798157067359133</v>
      </c>
      <c r="K8" s="34"/>
      <c r="L8" s="34"/>
      <c r="M8" s="34"/>
      <c r="N8" s="34">
        <f>C30*'E Balans VL '!Y18/100/3.6*1000000</f>
        <v>0.14208290413813038</v>
      </c>
      <c r="O8" s="34"/>
      <c r="P8" s="34"/>
      <c r="R8" s="33"/>
    </row>
    <row r="9" spans="1:18">
      <c r="A9" s="6" t="s">
        <v>32</v>
      </c>
      <c r="B9" s="38">
        <f t="shared" si="0"/>
        <v>514.50099999999998</v>
      </c>
      <c r="C9" s="34"/>
      <c r="D9" s="38">
        <f>IF( ISERROR(IND_andere_gas_kWh/1000),0,IND_andere_gas_kWh/1000)*0.902</f>
        <v>299.88433200000003</v>
      </c>
      <c r="E9" s="34">
        <f>C31*'E Balans VL '!I19/100/3.6*1000000</f>
        <v>2.9738926658149949</v>
      </c>
      <c r="F9" s="34">
        <f>C31*'E Balans VL '!L19/100/3.6*1000000+C31*'E Balans VL '!N19/100/3.6*1000000</f>
        <v>409.31030230845704</v>
      </c>
      <c r="G9" s="35"/>
      <c r="H9" s="34"/>
      <c r="I9" s="34"/>
      <c r="J9" s="41">
        <f>C31*'E Balans VL '!D19/100/3.6*1000000+C31*'E Balans VL '!E19/100/3.6*1000000</f>
        <v>4.8666079684760097E-2</v>
      </c>
      <c r="K9" s="34"/>
      <c r="L9" s="34"/>
      <c r="M9" s="34"/>
      <c r="N9" s="34">
        <f>C31*'E Balans VL '!Y19/100/3.6*1000000</f>
        <v>38.981236851713675</v>
      </c>
      <c r="O9" s="34"/>
      <c r="P9" s="34"/>
      <c r="R9" s="33"/>
    </row>
    <row r="10" spans="1:18">
      <c r="A10" s="6" t="s">
        <v>40</v>
      </c>
      <c r="B10" s="38">
        <f t="shared" si="0"/>
        <v>227.20099999999999</v>
      </c>
      <c r="C10" s="34"/>
      <c r="D10" s="38">
        <f>IF( ISERROR(IND_voed_gas_kWh/1000),0,IND_voed_gas_kWh/1000)*0.902</f>
        <v>0</v>
      </c>
      <c r="E10" s="34">
        <f>C32*'E Balans VL '!I20/100/3.6*1000000</f>
        <v>2.233980222194853</v>
      </c>
      <c r="F10" s="34">
        <f>C32*'E Balans VL '!L20/100/3.6*1000000+C32*'E Balans VL '!N20/100/3.6*1000000</f>
        <v>25.233636623858402</v>
      </c>
      <c r="G10" s="35"/>
      <c r="H10" s="34"/>
      <c r="I10" s="34"/>
      <c r="J10" s="41">
        <f>C32*'E Balans VL '!D20/100/3.6*1000000+C32*'E Balans VL '!E20/100/3.6*1000000</f>
        <v>8.9550228404764506E-4</v>
      </c>
      <c r="K10" s="34"/>
      <c r="L10" s="34"/>
      <c r="M10" s="34"/>
      <c r="N10" s="34">
        <f>C32*'E Balans VL '!Y20/100/3.6*1000000</f>
        <v>3.3643123769146226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42.627000000000002</v>
      </c>
      <c r="C15" s="34"/>
      <c r="D15" s="38">
        <f>IF( ISERROR(IND_rest_gas_kWh/1000),0,IND_rest_gas_kWh/1000)*0.902</f>
        <v>37.677441999999999</v>
      </c>
      <c r="E15" s="34">
        <f>C37*'E Balans VL '!I15/100/3.6*1000000</f>
        <v>0.38303304794495557</v>
      </c>
      <c r="F15" s="34">
        <f>C37*'E Balans VL '!L15/100/3.6*1000000+C37*'E Balans VL '!N15/100/3.6*1000000</f>
        <v>8.3941288934688547</v>
      </c>
      <c r="G15" s="35"/>
      <c r="H15" s="34"/>
      <c r="I15" s="34"/>
      <c r="J15" s="41">
        <f>C37*'E Balans VL '!D15/100/3.6*1000000+C37*'E Balans VL '!E15/100/3.6*1000000</f>
        <v>0.21436139597322504</v>
      </c>
      <c r="K15" s="34"/>
      <c r="L15" s="34"/>
      <c r="M15" s="34"/>
      <c r="N15" s="34">
        <f>C37*'E Balans VL '!Y15/100/3.6*1000000</f>
        <v>1.3085366007990018</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825.673</v>
      </c>
      <c r="C18" s="22">
        <f>C5+C16</f>
        <v>0</v>
      </c>
      <c r="D18" s="22">
        <f>MAX((D5+D16),0)</f>
        <v>337.56177400000001</v>
      </c>
      <c r="E18" s="22">
        <f>MAX((E5+E16),0)</f>
        <v>5.9674182932552213</v>
      </c>
      <c r="F18" s="22">
        <f>MAX((F5+F16),0)</f>
        <v>448.39102745405563</v>
      </c>
      <c r="G18" s="22"/>
      <c r="H18" s="22"/>
      <c r="I18" s="22"/>
      <c r="J18" s="22">
        <f>MAX((J5+J16),0)</f>
        <v>0.94190454861562412</v>
      </c>
      <c r="K18" s="22"/>
      <c r="L18" s="22">
        <f>MAX((L5+L16),0)</f>
        <v>0</v>
      </c>
      <c r="M18" s="22"/>
      <c r="N18" s="22">
        <f>MAX((N5+N16),0)</f>
        <v>43.79616873356543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0.20941417845473939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172.90763296726004</v>
      </c>
      <c r="C22" s="24">
        <f ca="1">C18*C20</f>
        <v>0</v>
      </c>
      <c r="D22" s="24">
        <f>D18*D20</f>
        <v>68.187478348000013</v>
      </c>
      <c r="E22" s="24">
        <f>E18*E20</f>
        <v>1.3546039525689353</v>
      </c>
      <c r="F22" s="24">
        <f>F18*F20</f>
        <v>119.72040433023287</v>
      </c>
      <c r="G22" s="24"/>
      <c r="H22" s="24"/>
      <c r="I22" s="24"/>
      <c r="J22" s="24">
        <f>J18*J20</f>
        <v>0.33343421020993091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41.344000000000001</v>
      </c>
      <c r="C30" s="40">
        <f>IF(ISERROR(B30*3.6/1000000/'E Balans VL '!Z18*100),0,B30*3.6/1000000/'E Balans VL '!Z18*100)</f>
        <v>2.3005171350439974E-3</v>
      </c>
      <c r="D30" s="236" t="s">
        <v>691</v>
      </c>
    </row>
    <row r="31" spans="1:18">
      <c r="A31" s="6" t="s">
        <v>32</v>
      </c>
      <c r="B31" s="38">
        <f>IF( ISERROR(IND_ander_ele_kWh/1000),0,IND_ander_ele_kWh/1000)</f>
        <v>514.50099999999998</v>
      </c>
      <c r="C31" s="40">
        <f>IF(ISERROR(B31*3.6/1000000/'E Balans VL '!Z19*100),0,B31*3.6/1000000/'E Balans VL '!Z19*100)</f>
        <v>2.3917800254626125E-2</v>
      </c>
      <c r="D31" s="236" t="s">
        <v>691</v>
      </c>
    </row>
    <row r="32" spans="1:18">
      <c r="A32" s="171" t="s">
        <v>40</v>
      </c>
      <c r="B32" s="38">
        <f>IF( ISERROR(IND_voed_ele_kWh/1000),0,IND_voed_ele_kWh/1000)</f>
        <v>227.20099999999999</v>
      </c>
      <c r="C32" s="40">
        <f>IF(ISERROR(B32*3.6/1000000/'E Balans VL '!Z20*100),0,B32*3.6/1000000/'E Balans VL '!Z20*100)</f>
        <v>8.0310964981479219E-3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42.627000000000002</v>
      </c>
      <c r="C37" s="40">
        <f>IF(ISERROR(B37*3.6/1000000/'E Balans VL '!Z15*100),0,B37*3.6/1000000/'E Balans VL '!Z15*100)</f>
        <v>3.218968196009462E-4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685.05700000000002</v>
      </c>
      <c r="C5" s="18">
        <f>'Eigen informatie GS &amp; warmtenet'!B60</f>
        <v>0</v>
      </c>
      <c r="D5" s="31">
        <f>IF(ISERROR(SUM(LB_lb_gas_kWh,LB_rest_gas_kWh)/1000),0,SUM(LB_lb_gas_kWh,LB_rest_gas_kWh)/1000)*0.902</f>
        <v>58.973662000000004</v>
      </c>
      <c r="E5" s="18">
        <f>B17*'E Balans VL '!I25/3.6*1000000/100</f>
        <v>6.4536959432467276</v>
      </c>
      <c r="F5" s="18">
        <f>B17*('E Balans VL '!L25/3.6*1000000+'E Balans VL '!N25/3.6*1000000)/100</f>
        <v>2235.5683414516416</v>
      </c>
      <c r="G5" s="19"/>
      <c r="H5" s="18"/>
      <c r="I5" s="18"/>
      <c r="J5" s="18">
        <f>('E Balans VL '!D25+'E Balans VL '!E25)/3.6*1000000*landbouw!B17/100</f>
        <v>84.744883016607929</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685.05700000000002</v>
      </c>
      <c r="C8" s="22">
        <f>C5+C6</f>
        <v>0</v>
      </c>
      <c r="D8" s="22">
        <f>MAX((D5+D6),0)</f>
        <v>58.973662000000004</v>
      </c>
      <c r="E8" s="22">
        <f>MAX((E5+E6),0)</f>
        <v>6.4536959432467276</v>
      </c>
      <c r="F8" s="22">
        <f>MAX((F5+F6),0)</f>
        <v>2235.5683414516416</v>
      </c>
      <c r="G8" s="22"/>
      <c r="H8" s="22"/>
      <c r="I8" s="22"/>
      <c r="J8" s="22">
        <f>MAX((J5+J6),0)</f>
        <v>84.744883016607929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0.20941417845473939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143.46064884966842</v>
      </c>
      <c r="C12" s="24">
        <f ca="1">C8*C10</f>
        <v>0</v>
      </c>
      <c r="D12" s="24">
        <f>D8*D10</f>
        <v>11.912679724000002</v>
      </c>
      <c r="E12" s="24">
        <f>E8*E10</f>
        <v>1.4649889791170072</v>
      </c>
      <c r="F12" s="24">
        <f>F8*F10</f>
        <v>596.89674716758839</v>
      </c>
      <c r="G12" s="24"/>
      <c r="H12" s="24"/>
      <c r="I12" s="24"/>
      <c r="J12" s="24">
        <f>J8*J10</f>
        <v>29.999688587879206</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9.2745770939077959E-2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209.94532144006237</v>
      </c>
      <c r="C26" s="246">
        <f>B26*'GWP N2O_CH4'!B5</f>
        <v>4408.8517502413097</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32.660214637982037</v>
      </c>
      <c r="C27" s="246">
        <f>B27*'GWP N2O_CH4'!B5</f>
        <v>685.86450739762279</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3.2537296418420656</v>
      </c>
      <c r="C28" s="246">
        <f>B28*'GWP N2O_CH4'!B4</f>
        <v>1008.6561889710404</v>
      </c>
      <c r="D28" s="51"/>
    </row>
    <row r="29" spans="1:4">
      <c r="A29" s="42" t="s">
        <v>272</v>
      </c>
      <c r="B29" s="246">
        <f>B34*'ha_N2O bodem landbouw'!B4</f>
        <v>12.106225854838325</v>
      </c>
      <c r="C29" s="246">
        <f>B29*'GWP N2O_CH4'!B4</f>
        <v>3752.9300149998808</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3.2682998735860322E-3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6.4847104242873547E-6</v>
      </c>
      <c r="C5" s="435" t="s">
        <v>210</v>
      </c>
      <c r="D5" s="420">
        <f>SUM(D6:D11)</f>
        <v>8.7792569374004635E-6</v>
      </c>
      <c r="E5" s="420">
        <f>SUM(E6:E11)</f>
        <v>5.5687224387151102E-4</v>
      </c>
      <c r="F5" s="433" t="s">
        <v>210</v>
      </c>
      <c r="G5" s="420">
        <f>SUM(G6:G11)</f>
        <v>0.11642842784499013</v>
      </c>
      <c r="H5" s="420">
        <f>SUM(H6:H11)</f>
        <v>2.0992051861512217E-2</v>
      </c>
      <c r="I5" s="435" t="s">
        <v>210</v>
      </c>
      <c r="J5" s="435" t="s">
        <v>210</v>
      </c>
      <c r="K5" s="435" t="s">
        <v>210</v>
      </c>
      <c r="L5" s="435" t="s">
        <v>210</v>
      </c>
      <c r="M5" s="420">
        <f>SUM(M6:M11)</f>
        <v>6.1421106956559062E-3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4.3378821558898684E-6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5.0522509765474704E-6</v>
      </c>
      <c r="E6" s="423">
        <f>vkm_GW_PW*SUMIFS(TableVerdeelsleutelVkm[LPG],TableVerdeelsleutelVkm[Voertuigtype],"Lichte voertuigen")*SUMIFS(TableECFTransport[EnergieConsumptieFactor (PJ per km)],TableECFTransport[Index],CONCATENATE($A6,"_LPG_LPG"))</f>
        <v>3.2777706055706524E-4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5.1139383972995639E-2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1.2324583446395683E-2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2.8400166750870617E-3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1.7408915152005405E-7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2.8798187608642042E-2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7.727579940512092E-7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1.2814254035982109E-3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1.9593421798594575E-6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3.7270059608529932E-6</v>
      </c>
      <c r="E8" s="423">
        <f>vkm_NGW_PW*SUMIFS(TableVerdeelsleutelVkm[LPG],TableVerdeelsleutelVkm[Voertuigtype],"Lichte voertuigen")*SUMIFS(TableECFTransport[EnergieConsumptieFactor (PJ per km)],TableECFTransport[Index],CONCATENATE($A8,"_LPG_LPG"))</f>
        <v>2.2909518331444578E-4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3.3648987696267944E-2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8.666623878724725E-3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1.8942149416028592E-3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1.339693701797446E-8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2.8418685670845174E-3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7.1778397755762189E-8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1.2645367536777413E-4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1.8013084511909319</v>
      </c>
      <c r="C14" s="22"/>
      <c r="D14" s="22">
        <f t="shared" ref="D14:M14" si="0">((D5)*10^9/3600)+D12</f>
        <v>2.4386824826112399</v>
      </c>
      <c r="E14" s="22">
        <f t="shared" si="0"/>
        <v>154.68673440875304</v>
      </c>
      <c r="F14" s="22"/>
      <c r="G14" s="22">
        <f t="shared" si="0"/>
        <v>32341.229956941705</v>
      </c>
      <c r="H14" s="22">
        <f t="shared" si="0"/>
        <v>5831.1255170867271</v>
      </c>
      <c r="I14" s="22"/>
      <c r="J14" s="22"/>
      <c r="K14" s="22"/>
      <c r="L14" s="22"/>
      <c r="M14" s="22">
        <f t="shared" si="0"/>
        <v>1706.1418599044184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0.20941417845473939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0.37721952944972803</v>
      </c>
      <c r="C18" s="24"/>
      <c r="D18" s="24">
        <f t="shared" ref="D18:M18" si="1">D14*D16</f>
        <v>0.49261386148747049</v>
      </c>
      <c r="E18" s="24">
        <f t="shared" si="1"/>
        <v>35.113888710786938</v>
      </c>
      <c r="F18" s="24"/>
      <c r="G18" s="24">
        <f t="shared" si="1"/>
        <v>8635.1083985034347</v>
      </c>
      <c r="H18" s="24">
        <f t="shared" si="1"/>
        <v>1451.950253754595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1.4742973016908116E-5</v>
      </c>
      <c r="C50" s="316">
        <f t="shared" ref="C50:P50" si="2">SUM(C51:C52)</f>
        <v>0</v>
      </c>
      <c r="D50" s="316">
        <f t="shared" si="2"/>
        <v>0</v>
      </c>
      <c r="E50" s="316">
        <f t="shared" si="2"/>
        <v>0</v>
      </c>
      <c r="F50" s="316">
        <f t="shared" si="2"/>
        <v>0</v>
      </c>
      <c r="G50" s="316">
        <f t="shared" si="2"/>
        <v>2.9405150349570493E-3</v>
      </c>
      <c r="H50" s="316">
        <f t="shared" si="2"/>
        <v>0</v>
      </c>
      <c r="I50" s="316">
        <f t="shared" si="2"/>
        <v>0</v>
      </c>
      <c r="J50" s="316">
        <f t="shared" si="2"/>
        <v>0</v>
      </c>
      <c r="K50" s="316">
        <f t="shared" si="2"/>
        <v>0</v>
      </c>
      <c r="L50" s="316">
        <f t="shared" si="2"/>
        <v>0</v>
      </c>
      <c r="M50" s="316">
        <f t="shared" si="2"/>
        <v>1.2996763272078878E-4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1.4742973016908116E-5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2.9405150349570493E-3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1.2996763272078878E-4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4.0952702824744769</v>
      </c>
      <c r="C54" s="22">
        <f t="shared" ref="C54:P54" si="3">(C50)*10^9/3600</f>
        <v>0</v>
      </c>
      <c r="D54" s="22">
        <f t="shared" si="3"/>
        <v>0</v>
      </c>
      <c r="E54" s="22">
        <f t="shared" si="3"/>
        <v>0</v>
      </c>
      <c r="F54" s="22">
        <f t="shared" si="3"/>
        <v>0</v>
      </c>
      <c r="G54" s="22">
        <f t="shared" si="3"/>
        <v>816.80973193251373</v>
      </c>
      <c r="H54" s="22">
        <f t="shared" si="3"/>
        <v>0</v>
      </c>
      <c r="I54" s="22">
        <f t="shared" si="3"/>
        <v>0</v>
      </c>
      <c r="J54" s="22">
        <f t="shared" si="3"/>
        <v>0</v>
      </c>
      <c r="K54" s="22">
        <f t="shared" si="3"/>
        <v>0</v>
      </c>
      <c r="L54" s="22">
        <f t="shared" si="3"/>
        <v>0</v>
      </c>
      <c r="M54" s="22">
        <f t="shared" si="3"/>
        <v>36.102120200219105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0.20941417845473939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0.85760766175450109</v>
      </c>
      <c r="C58" s="24">
        <f t="shared" ref="C58:P58" ca="1" si="4">C54*C56</f>
        <v>0</v>
      </c>
      <c r="D58" s="24">
        <f t="shared" si="4"/>
        <v>0</v>
      </c>
      <c r="E58" s="24">
        <f t="shared" si="4"/>
        <v>0</v>
      </c>
      <c r="F58" s="24">
        <f t="shared" si="4"/>
        <v>0</v>
      </c>
      <c r="G58" s="24">
        <f t="shared" si="4"/>
        <v>218.08819842598118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1333.9708382422486</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1333.9708382422486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2021-06-29T16:39:39Z</dcterms:modified>
</cp:coreProperties>
</file>