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<sst xmlns="http://schemas.openxmlformats.org/spreadsheetml/2006/main" count="2565" uniqueCount="965">
  <si>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</si>
  <si>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</si>
  <si>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</si>
  <si>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</si>
  <si>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</si>
  <si>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</si>
  <si>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</si>
  <si>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</si>
  <si>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</si>
  <si>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</si>
  <si>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</si>
  <si>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</si>
  <si>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</si>
  <si>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</si>
  <si>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</si>
  <si>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</si>
  <si>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</si>
  <si>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</si>
  <si>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</si>
  <si>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</si>
  <si>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</si>
  <si>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</si>
  <si>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</si>
  <si>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</si>
  <si>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</si>
  <si>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</si>
  <si>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</si>
  <si>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</si>
  <si>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</si>
  <si>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</si>
  <si>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</si>
  <si>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</si>
  <si>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</si>
  <si>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</si>
  <si>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</si>
  <si>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</si>
  <si>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</si>
  <si>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</si>
  <si>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</si>
  <si>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</si>
  <si>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</si>
  <si>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</si>
  <si>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</si>
  <si>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</si>
  <si>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</si>
  <si>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</si>
  <si>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</si>
  <si>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</si>
  <si>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</si>
  <si>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</si>
  <si>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</si>
  <si>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</si>
  <si>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</si>
  <si>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</si>
  <si>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</si>
  <si>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</si>
  <si>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</si>
  <si>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</si>
  <si>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</si>
  <si>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</si>
  <si>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</si>
  <si>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</si>
  <si>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</si>
  <si>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</si>
  <si>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</si>
  <si>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</si>
  <si>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</si>
  <si>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</si>
  <si>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</si>
  <si>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</si>
  <si>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</si>
  <si>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</si>
  <si>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</si>
  <si>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</si>
  <si>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</si>
  <si>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</si>
  <si>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</si>
  <si>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</si>
  <si>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</si>
  <si>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</si>
  <si>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</si>
  <si>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</si>
  <si>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</si>
  <si>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</si>
  <si>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</si>
  <si>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</si>
  <si>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</si>
  <si>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</si>
  <si>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</si>
  <si>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</si>
  <si>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</si>
  <si>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</si>
  <si>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</si>
  <si>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</si>
  <si>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</si>
  <si>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</si>
  <si>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</si>
  <si>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</si>
  <si>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</si>
  <si>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</si>
  <si>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</si>
  <si>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</si>
  <si>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</si>
  <si>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</si>
  <si>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</si>
  <si>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</si>
  <si>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</si>
  <si>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</si>
  <si>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</si>
  <si>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</si>
  <si>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</si>
  <si>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</si>
  <si>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</si>
  <si>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</si>
  <si>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</si>
  <si>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</si>
  <si>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</si>
  <si>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</si>
  <si>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</si>
  <si>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</si>
  <si>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</si>
  <si>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</si>
  <si>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</si>
  <si>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</si>
  <si>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</si>
  <si>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</si>
  <si>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</si>
  <si>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</si>
  <si>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</si>
  <si>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</si>
  <si>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</si>
  <si>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</si>
  <si>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</si>
  <si>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</si>
  <si>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</si>
  <si>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</si>
  <si>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</si>
  <si>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</si>
  <si>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</si>
  <si>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</si>
  <si>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</si>
  <si>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</si>
  <si>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</si>
  <si>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</si>
  <si>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</si>
  <si>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</si>
  <si>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</si>
  <si>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</si>
  <si>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</si>
  <si>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</si>
  <si>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</si>
  <si>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</si>
  <si>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</si>
  <si>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</si>
  <si>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</si>
  <si>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</si>
  <si>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</si>
  <si>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</si>
  <si>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</si>
  <si>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</si>
  <si>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</si>
  <si>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</si>
  <si>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</si>
  <si>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</si>
  <si>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</si>
  <si>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</si>
  <si>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</si>
  <si>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</si>
  <si>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</si>
  <si>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</si>
  <si>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</si>
  <si>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</si>
  <si>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</si>
  <si>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</si>
  <si>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</si>
  <si>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</si>
  <si>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</si>
  <si>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</si>
  <si>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</si>
  <si>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</si>
  <si>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</si>
  <si>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</si>
  <si>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</si>
  <si>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</si>
  <si>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</si>
  <si>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</si>
  <si>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</si>
  <si>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</si>
  <si>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</si>
  <si>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</si>
  <si>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</si>
  <si>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</si>
  <si>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</si>
  <si>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</si>
  <si>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</si>
  <si>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</si>
  <si>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</si>
  <si>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</si>
  <si>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</si>
  <si>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</si>
  <si>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</si>
  <si>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</si>
  <si>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</si>
  <si>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</si>
  <si>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</si>
  <si>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</si>
  <si>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</si>
  <si>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</si>
  <si>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</si>
  <si>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</si>
  <si>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</si>
  <si>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</si>
  <si>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</si>
  <si>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</si>
  <si>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</si>
  <si>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</si>
  <si>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</si>
  <si>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</si>
  <si>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</si>
  <si>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</si>
  <si>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</si>
  <si>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</si>
  <si>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</si>
  <si>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</si>
  <si>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</si>
  <si>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</si>
  <si>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</si>
  <si>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</si>
  <si>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</si>
  <si>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</si>
  <si>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</si>
  <si>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</si>
  <si>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</si>
  <si>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</si>
  <si>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</si>
  <si>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</si>
  <si>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</si>
  <si>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</si>
  <si>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</si>
  <si>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</si>
  <si>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</si>
  <si>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</si>
  <si>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</si>
  <si>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</si>
  <si>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</si>
  <si>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</si>
  <si>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</si>
  <si>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</si>
  <si>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</si>
  <si>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</si>
  <si>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</si>
  <si>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</si>
  <si>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</si>
  <si>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</si>
  <si>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</si>
  <si>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</si>
  <si>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</si>
  <si>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</si>
  <si>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</si>
  <si>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</si>
  <si>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</si>
  <si>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</si>
  <si>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</si>
  <si>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</si>
  <si>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</si>
  <si>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</si>
  <si>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</si>
  <si>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</si>
  <si>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</si>
  <si>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</si>
  <si>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</si>
  <si>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</si>
  <si>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</si>
  <si>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</si>
  <si>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</si>
  <si>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</si>
  <si>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</si>
  <si>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</si>
  <si>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</si>
  <si>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</si>
  <si>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</si>
  <si>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</si>
  <si>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</si>
  <si>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</si>
  <si>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</si>
  <si>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</si>
  <si>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</si>
  <si>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</si>
  <si>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</si>
  <si>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</si>
  <si>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</si>
  <si>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</si>
  <si>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</si>
  <si>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</si>
  <si>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</si>
  <si>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</si>
  <si>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</si>
  <si>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</si>
  <si>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</si>
  <si>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</si>
  <si>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</si>
  <si>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</si>
  <si>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</si>
  <si>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</si>
  <si>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</si>
  <si>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</si>
  <si>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</si>
  <si>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</si>
  <si>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</si>
  <si>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</si>
  <si>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</si>
  <si>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</si>
  <si>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</si>
  <si>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</si>
  <si>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</si>
  <si>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</si>
  <si>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</si>
  <si>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</si>
  <si>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</si>
  <si>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</si>
  <si>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</si>
  <si>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</si>
  <si>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</si>
  <si>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</si>
  <si>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</si>
  <si>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</si>
  <si>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</si>
  <si>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</si>
  <si>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</si>
  <si>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</si>
  <si>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</si>
  <si>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</si>
  <si>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</si>
  <si>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</si>
  <si>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</si>
  <si>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</si>
  <si>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</si>
  <si>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</si>
  <si>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</si>
  <si>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</si>
  <si>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</si>
  <si>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</si>
  <si>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</si>
  <si>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</si>
  <si>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</si>
  <si>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</si>
  <si>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</si>
  <si>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</si>
  <si>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</si>
  <si>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</si>
  <si>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</si>
  <si>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</si>
  <si>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</si>
  <si>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</si>
  <si>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</si>
  <si>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</si>
  <si>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</si>
  <si>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</si>
  <si>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</si>
  <si>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</si>
  <si>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</si>
  <si>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</si>
  <si>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</si>
  <si>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</si>
  <si>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</si>
  <si>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</si>
  <si>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</si>
  <si>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</si>
  <si>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</si>
  <si>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</si>
  <si>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</si>
  <si>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</si>
  <si>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</si>
  <si>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</si>
  <si>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</si>
  <si>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</si>
  <si>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</si>
  <si>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</si>
  <si>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</si>
  <si>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</si>
  <si>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</si>
  <si>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</si>
  <si>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</si>
  <si>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</si>
  <si>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</si>
  <si>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</si>
  <si>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</si>
  <si>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</si>
  <si>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</si>
  <si>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</si>
  <si>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</si>
  <si>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</si>
  <si>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</si>
  <si>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</si>
  <si>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</si>
  <si>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</si>
  <si>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</si>
  <si>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</si>
  <si>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</si>
  <si>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</si>
  <si>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</si>
  <si>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</si>
  <si>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</si>
  <si>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</si>
  <si>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</si>
  <si>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</si>
  <si>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</si>
  <si>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</si>
  <si>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</si>
  <si>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</si>
  <si>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</si>
  <si>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</si>
  <si>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</si>
  <si>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</si>
  <si>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</si>
  <si>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</si>
  <si>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</si>
  <si>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</si>
  <si>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</si>
  <si>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</si>
  <si>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</si>
  <si>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</si>
  <si>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</si>
  <si>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</si>
  <si>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</si>
  <si>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</si>
  <si>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</si>
  <si>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</si>
  <si>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</si>
  <si>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</si>
  <si>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</si>
  <si>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</si>
  <si>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</si>
  <si>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</si>
  <si>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</si>
  <si>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</si>
  <si>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</si>
  <si>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</si>
  <si>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</si>
  <si>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</si>
  <si>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</si>
  <si>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</si>
  <si>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</si>
  <si>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</si>
  <si>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</si>
  <si>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</si>
  <si>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</si>
  <si>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</si>
  <si>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</si>
  <si>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</si>
  <si>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</si>
  <si>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</si>
  <si>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</si>
  <si>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</si>
  <si>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</si>
  <si>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</si>
  <si>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</si>
  <si>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</si>
  <si>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</si>
  <si>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</si>
  <si>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</si>
  <si>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</si>
  <si>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</si>
  <si>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</si>
  <si>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</si>
  <si>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</si>
  <si>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</si>
  <si>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</si>
  <si>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</si>
  <si>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</si>
  <si>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</si>
  <si>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</si>
  <si>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</si>
  <si>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</si>
  <si>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</si>
  <si>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</si>
  <si>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</si>
  <si>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</si>
  <si>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</si>
  <si>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</si>
  <si>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</si>
  <si>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</si>
  <si>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</si>
  <si>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</si>
  <si>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</si>
  <si>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</si>
  <si>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</si>
  <si>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</si>
  <si>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</si>
  <si>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</si>
  <si>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</si>
  <si>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</si>
  <si>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</si>
  <si>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</si>
  <si>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</si>
  <si>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</si>
  <si>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</si>
  <si>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</si>
  <si>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</si>
  <si>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</si>
  <si>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</si>
  <si>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</si>
  <si>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</si>
  <si>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</si>
  <si>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</si>
  <si>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</si>
  <si>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</si>
  <si>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</si>
  <si>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</si>
  <si>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</si>
  <si>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</si>
  <si>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</si>
  <si>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</si>
  <si>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</si>
  <si>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</si>
  <si>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</si>
  <si>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</si>
  <si>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</si>
  <si>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</si>
  <si>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</si>
  <si>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</si>
  <si>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</si>
  <si>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</si>
  <si>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</si>
  <si>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</si>
  <si>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</si>
  <si>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</si>
  <si>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</si>
  <si>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</si>
  <si>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</si>
  <si>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</si>
  <si>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</si>
  <si>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</si>
  <si>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</si>
  <si>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</si>
  <si>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</si>
  <si>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</si>
  <si>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</si>
  <si>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</si>
  <si>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</si>
  <si>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</si>
  <si>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</si>
  <si>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</si>
  <si>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</si>
  <si>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</si>
  <si>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</si>
  <si>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</si>
  <si>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</si>
  <si>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</si>
  <si>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</si>
  <si>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</si>
  <si>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</si>
  <si>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</si>
  <si>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</si>
  <si>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</si>
  <si>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</si>
  <si>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</si>
  <si>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</si>
  <si>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</si>
  <si>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</si>
  <si>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</si>
  <si>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</si>
  <si>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</si>
  <si>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</si>
  <si>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</si>
  <si>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</si>
  <si>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</si>
  <si>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</si>
  <si>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</si>
  <si>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</si>
  <si>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</si>
  <si>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</si>
  <si>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</si>
  <si>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</si>
  <si>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</si>
  <si>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</si>
  <si>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</si>
  <si>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</si>
  <si>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</si>
  <si>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</si>
  <si>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</si>
  <si>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</si>
  <si>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</si>
  <si>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</si>
  <si>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</si>
  <si>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</si>
  <si>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</si>
  <si>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</si>
  <si>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</si>
  <si>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</si>
  <si>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</si>
  <si>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</si>
  <si>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</si>
  <si>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</si>
  <si>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</si>
  <si>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</si>
  <si>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</si>
  <si>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</si>
  <si>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</si>
  <si>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</si>
  <si>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</si>
  <si>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</si>
  <si>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</si>
  <si>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</si>
  <si>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</si>
  <si>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</si>
  <si>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</si>
  <si>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</si>
  <si>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</si>
  <si>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</si>
  <si>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</si>
  <si>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</si>
  <si>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</si>
  <si>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</si>
  <si>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</si>
  <si>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</si>
  <si>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</si>
  <si>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</si>
  <si>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</si>
  <si>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</si>
  <si>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</si>
  <si>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</si>
  <si>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</si>
  <si>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</si>
  <si>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</si>
  <si>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</si>
  <si>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</si>
  <si>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</si>
  <si>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</si>
  <si>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</si>
  <si>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</si>
  <si>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</si>
  <si>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</si>
  <si>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</si>
  <si>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</si>
  <si>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</si>
  <si>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</si>
  <si>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</si>
  <si>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</si>
  <si>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</si>
  <si>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</si>
  <si>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</si>
  <si>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</si>
  <si>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</si>
  <si>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</si>
  <si>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</si>
  <si>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</si>
  <si>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</si>
  <si>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</si>
  <si>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</si>
  <si>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</si>
  <si>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</si>
  <si>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</si>
  <si>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</si>
  <si>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</si>
  <si>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</si>
  <si>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</si>
  <si>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</si>
  <si>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</si>
  <si>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</si>
  <si>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</si>
  <si>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</si>
  <si>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</si>
  <si>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</si>
  <si>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</si>
  <si>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</si>
  <si>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</si>
  <si>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</si>
  <si>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</si>
  <si>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</si>
  <si>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</si>
  <si>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</si>
  <si>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</si>
  <si>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</si>
  <si>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</si>
  <si>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</si>
  <si>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</si>
  <si>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</si>
  <si>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</si>
  <si>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</si>
  <si>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</si>
  <si>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</si>
  <si>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</si>
  <si>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</si>
  <si>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</si>
  <si>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</si>
  <si>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</si>
  <si>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</si>
  <si>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</si>
  <si>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</si>
  <si>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</si>
  <si>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</si>
  <si>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</si>
  <si>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</si>
  <si>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</si>
  <si>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</si>
  <si>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</si>
  <si>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</si>
  <si>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</si>
  <si>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</si>
  <si>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</si>
  <si>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</si>
  <si>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</si>
  <si>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</si>
  <si>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</si>
  <si>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</si>
  <si>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</si>
  <si>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</si>
  <si>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</si>
  <si>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</si>
  <si>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</si>
  <si>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</si>
  <si>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</si>
  <si>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</si>
  <si>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</si>
  <si>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</si>
  <si>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</si>
  <si>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</si>
  <si>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</si>
  <si>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</si>
  <si>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</si>
  <si>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</si>
  <si>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</si>
  <si>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</si>
  <si>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</si>
  <si>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</si>
  <si>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</si>
  <si>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</si>
  <si>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</si>
  <si>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</si>
  <si>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</si>
  <si>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</si>
  <si>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</si>
  <si>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</si>
  <si>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</si>
  <si>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</si>
  <si>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</si>
  <si>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</si>
  <si>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</si>
  <si>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</si>
  <si>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</si>
  <si>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</si>
  <si>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</si>
  <si>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</si>
  <si>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</si>
  <si>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</si>
  <si>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</si>
  <si>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</si>
  <si>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</si>
  <si>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</si>
  <si>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</si>
  <si>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</si>
  <si>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</si>
  <si>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</si>
  <si>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</si>
  <si>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</si>
  <si>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</si>
  <si>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</si>
  <si>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</si>
  <si>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</si>
  <si>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</si>
  <si>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</si>
  <si>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</si>
  <si>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</si>
  <si>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</si>
  <si>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</si>
  <si>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</si>
  <si>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</si>
  <si>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</si>
  <si>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</si>
  <si>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</si>
  <si>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</si>
  <si>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</si>
  <si>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</si>
  <si>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</si>
  <si>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</si>
  <si>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</si>
  <si>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</si>
  <si>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</si>
  <si>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</si>
  <si>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</si>
  <si>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</si>
  <si>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</si>
  <si>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</si>
  <si>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</si>
  <si>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</si>
  <si>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</si>
  <si>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</si>
  <si>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</si>
  <si>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</si>
  <si>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</si>
  <si>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</si>
  <si>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</si>
  <si>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</si>
  <si>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</si>
  <si>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</si>
  <si>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</si>
  <si>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</si>
  <si>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</si>
  <si>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</si>
  <si>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</si>
  <si>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</si>
  <si>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</si>
  <si>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</si>
  <si>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</si>
  <si>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</si>
  <si>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</si>
  <si>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</si>
  <si>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</si>
  <si>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</si>
  <si>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</si>
  <si>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</si>
  <si>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</si>
  <si>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</si>
  <si>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</si>
  <si>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</si>
  <si>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</si>
  <si>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</si>
  <si>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</si>
  <si>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</si>
  <si>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</si>
  <si>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</si>
  <si>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</si>
  <si>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</si>
  <si>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</si>
  <si>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</si>
  <si>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</si>
  <si>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</si>
  <si>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</si>
  <si>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</si>
  <si>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</si>
  <si>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</si>
  <si>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</si>
  <si>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</si>
  <si>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</si>
  <si>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</si>
  <si>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</si>
  <si>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</si>
  <si>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</si>
  <si>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</si>
  <si>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</si>
  <si>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</si>
  <si>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</si>
  <si>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</si>
  <si>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</si>
  <si>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</si>
  <si>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</si>
  <si>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</si>
  <si>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</si>
  <si>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</si>
  <si>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</si>
  <si>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</si>
  <si>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</si>
  <si>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</si>
  <si>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</si>
  <si>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</si>
  <si>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</si>
  <si>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</si>
  <si>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</si>
  <si>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</si>
  <si>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</si>
  <si>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</si>
  <si>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</si>
  <si>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</si>
  <si>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</si>
  <si>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</si>
  <si>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</si>
  <si>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</si>
  <si>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</si>
  <si>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</si>
  <si>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</si>
  <si>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</si>
  <si>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</si>
  <si>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</si>
  <si>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</si>
  <si>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</si>
  <si>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</si>
  <si>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</si>
  <si>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</si>
  <si>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</si>
  <si>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</si>
  <si>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</si>
  <si>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</si>
  <si>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</si>
  <si>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</si>
  <si>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</si>
  <si>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</si>
  <si>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</si>
  <si>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</si>
  <si>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</si>
  <si>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</si>
  <si>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</si>
  <si>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</si>
  <si>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</si>
  <si>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</si>
  <si>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</si>
  <si>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</si>
  <si>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</si>
  <si>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</si>
  <si>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</si>
  <si>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</si>
  <si>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</si>
  <si>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</si>
  <si>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</si>
  <si>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</si>
  <si>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</si>
  <si>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</si>
  <si>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</si>
  <si>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</si>
  <si>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</si>
  <si>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</si>
  <si>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</si>
  <si>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</si>
  <si>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</si>
  <si>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</si>
  <si>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</si>
  <si>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</si>
  <si>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</si>
  <si>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</si>
  <si>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</si>
  <si>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</si>
  <si>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</si>
  <si>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</si>
  <si>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</si>
  <si>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</si>
  <si>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</si>
  <si>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</si>
  <si>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</si>
  <si>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</si>
  <si>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</si>
  <si>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</si>
  <si>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</si>
  <si>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</si>
  <si>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</si>
  <si>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</si>
  <si>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</si>
  <si>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</si>
  <si>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</si>
  <si>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</si>
  <si>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</si>
  <si>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</si>
  <si>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</si>
  <si>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</si>
  <si>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</si>
  <si>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</si>
  <si>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</si>
  <si>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</si>
  <si>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</si>
  <si>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</si>
  <si>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</si>
  <si>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</si>
  <si>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</si>
  <si>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</si>
  <si>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</si>
  <si>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</si>
  <si>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</si>
  <si>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</si>
  <si>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</si>
  <si>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</si>
  <si>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23016</t>
  </si>
  <si>
    <t>DILBEEK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</si>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</sst>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23016</v>
      </c>
      <c r="B6" s="386"/>
      <c r="C6" s="387"/>
    </row>
    <row r="7" spans="1:7" s="384" customFormat="1" ht="15.75" customHeight="1">
      <c r="A7" s="388" t="str">
        <f>txtMunicipality</f>
        <v>DILBEEK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59922.533535920265</v>
      </c>
      <c r="D10" s="676">
        <f ca="1">tertiair!C16</f>
        <v>0</v>
      </c>
      <c r="E10" s="676">
        <f ca="1">tertiair!D16</f>
        <v>67697.989557373163</v>
      </c>
      <c r="F10" s="676">
        <f>tertiair!E16</f>
        <v>638.52388025779624</v>
      </c>
      <c r="G10" s="676">
        <f ca="1">tertiair!F16</f>
        <v>11467.920559746039</v>
      </c>
      <c r="H10" s="676">
        <f>tertiair!G16</f>
        <v>0</v>
      </c>
      <c r="I10" s="676">
        <f>tertiair!H16</f>
        <v>0</v>
      </c>
      <c r="J10" s="676">
        <f>tertiair!I16</f>
        <v>0</v>
      </c>
      <c r="K10" s="676">
        <f>tertiair!J16</f>
        <v>0</v>
      </c>
      <c r="L10" s="676">
        <f>tertiair!K16</f>
        <v>0</v>
      </c>
      <c r="M10" s="676">
        <f ca="1">tertiair!L16</f>
        <v>0</v>
      </c>
      <c r="N10" s="676">
        <f>tertiair!M16</f>
        <v>0</v>
      </c>
      <c r="O10" s="676">
        <f ca="1">tertiair!N16</f>
        <v>2826.2246185126141</v>
      </c>
      <c r="P10" s="676">
        <f>tertiair!O16</f>
        <v>0</v>
      </c>
      <c r="Q10" s="677">
        <f>tertiair!P16</f>
        <v>57.2</v>
      </c>
      <c r="R10" s="679">
        <f ca="1">SUM(C10:Q10)</f>
        <v>142610.39215180988</v>
      </c>
      <c r="S10" s="68"/>
    </row>
    <row r="11" spans="1:19" s="445" customFormat="1">
      <c r="A11" s="791" t="s">
        <v>220</v>
      </c>
      <c r="B11" s="796"/>
      <c r="C11" s="676">
        <f>huishoudens!B8</f>
        <v>71975.531621375048</v>
      </c>
      <c r="D11" s="676">
        <f>huishoudens!C8</f>
        <v>0</v>
      </c>
      <c r="E11" s="676">
        <f>huishoudens!D8</f>
        <v>198670.01795505642</v>
      </c>
      <c r="F11" s="676">
        <f>huishoudens!E8</f>
        <v>3134.4069874772658</v>
      </c>
      <c r="G11" s="676">
        <f>huishoudens!F8</f>
        <v>95558.968937346392</v>
      </c>
      <c r="H11" s="676">
        <f>huishoudens!G8</f>
        <v>0</v>
      </c>
      <c r="I11" s="676">
        <f>huishoudens!H8</f>
        <v>0</v>
      </c>
      <c r="J11" s="676">
        <f>huishoudens!I8</f>
        <v>0</v>
      </c>
      <c r="K11" s="676">
        <f>huishoudens!J8</f>
        <v>1733.884194243527</v>
      </c>
      <c r="L11" s="676">
        <f>huishoudens!K8</f>
        <v>0</v>
      </c>
      <c r="M11" s="676">
        <f>huishoudens!L8</f>
        <v>0</v>
      </c>
      <c r="N11" s="676">
        <f>huishoudens!M8</f>
        <v>0</v>
      </c>
      <c r="O11" s="676">
        <f>huishoudens!N8</f>
        <v>23352.8966618003</v>
      </c>
      <c r="P11" s="676">
        <f>huishoudens!O8</f>
        <v>189.16333333333336</v>
      </c>
      <c r="Q11" s="677">
        <f>huishoudens!P8</f>
        <v>457.6</v>
      </c>
      <c r="R11" s="679">
        <f>SUM(C11:Q11)</f>
        <v>395072.46969063219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32278.960537196683</v>
      </c>
      <c r="D13" s="676">
        <f>industrie!C18</f>
        <v>0</v>
      </c>
      <c r="E13" s="676">
        <f>industrie!D18</f>
        <v>57277.84018998831</v>
      </c>
      <c r="F13" s="676">
        <f>industrie!E18</f>
        <v>282.64447026444645</v>
      </c>
      <c r="G13" s="676">
        <f>industrie!F18</f>
        <v>8062.335708406601</v>
      </c>
      <c r="H13" s="676">
        <f>industrie!G18</f>
        <v>0</v>
      </c>
      <c r="I13" s="676">
        <f>industrie!H18</f>
        <v>0</v>
      </c>
      <c r="J13" s="676">
        <f>industrie!I18</f>
        <v>0</v>
      </c>
      <c r="K13" s="676">
        <f>industrie!J18</f>
        <v>141.07986045751133</v>
      </c>
      <c r="L13" s="676">
        <f>industrie!K18</f>
        <v>0</v>
      </c>
      <c r="M13" s="676">
        <f>industrie!L18</f>
        <v>0</v>
      </c>
      <c r="N13" s="676">
        <f>industrie!M18</f>
        <v>0</v>
      </c>
      <c r="O13" s="676">
        <f>industrie!N18</f>
        <v>1119.6154305968353</v>
      </c>
      <c r="P13" s="676">
        <f>industrie!O18</f>
        <v>0</v>
      </c>
      <c r="Q13" s="677">
        <f>industrie!P18</f>
        <v>0</v>
      </c>
      <c r="R13" s="679">
        <f>SUM(C13:Q13)</f>
        <v>99162.4761969104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164177.02569449201</v>
      </c>
      <c r="D16" s="709">
        <f t="shared" ref="D16:R16" ca="1" si="0">SUM(D9:D15)</f>
        <v>0</v>
      </c>
      <c r="E16" s="709">
        <f t="shared" ca="1" si="0"/>
        <v>323645.84770241793</v>
      </c>
      <c r="F16" s="709">
        <f t="shared" si="0"/>
        <v>4055.5753379995085</v>
      </c>
      <c r="G16" s="709">
        <f t="shared" ca="1" si="0"/>
        <v>115089.22520549904</v>
      </c>
      <c r="H16" s="709">
        <f t="shared" si="0"/>
        <v>0</v>
      </c>
      <c r="I16" s="709">
        <f t="shared" si="0"/>
        <v>0</v>
      </c>
      <c r="J16" s="709">
        <f t="shared" si="0"/>
        <v>0</v>
      </c>
      <c r="K16" s="709">
        <f t="shared" si="0"/>
        <v>1874.9640547010383</v>
      </c>
      <c r="L16" s="709">
        <f t="shared" si="0"/>
        <v>0</v>
      </c>
      <c r="M16" s="709">
        <f t="shared" ca="1" si="0"/>
        <v>0</v>
      </c>
      <c r="N16" s="709">
        <f t="shared" si="0"/>
        <v>0</v>
      </c>
      <c r="O16" s="709">
        <f t="shared" ca="1" si="0"/>
        <v>27298.736710909747</v>
      </c>
      <c r="P16" s="709">
        <f t="shared" si="0"/>
        <v>189.16333333333336</v>
      </c>
      <c r="Q16" s="709">
        <f t="shared" si="0"/>
        <v>514.80000000000007</v>
      </c>
      <c r="R16" s="709">
        <f t="shared" ca="1" si="0"/>
        <v>636845.33803935244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38.861607333750918</v>
      </c>
      <c r="D19" s="676">
        <f>transport!C54</f>
        <v>0</v>
      </c>
      <c r="E19" s="676">
        <f>transport!D54</f>
        <v>0</v>
      </c>
      <c r="F19" s="676">
        <f>transport!E54</f>
        <v>0</v>
      </c>
      <c r="G19" s="676">
        <f>transport!F54</f>
        <v>0</v>
      </c>
      <c r="H19" s="676">
        <f>transport!G54</f>
        <v>7751.024200915007</v>
      </c>
      <c r="I19" s="676">
        <f>transport!H54</f>
        <v>0</v>
      </c>
      <c r="J19" s="676">
        <f>transport!I54</f>
        <v>0</v>
      </c>
      <c r="K19" s="676">
        <f>transport!J54</f>
        <v>0</v>
      </c>
      <c r="L19" s="676">
        <f>transport!K54</f>
        <v>0</v>
      </c>
      <c r="M19" s="676">
        <f>transport!L54</f>
        <v>0</v>
      </c>
      <c r="N19" s="676">
        <f>transport!M54</f>
        <v>342.58701437626939</v>
      </c>
      <c r="O19" s="676">
        <f>transport!N54</f>
        <v>0</v>
      </c>
      <c r="P19" s="676">
        <f>transport!O54</f>
        <v>0</v>
      </c>
      <c r="Q19" s="677">
        <f>transport!P54</f>
        <v>0</v>
      </c>
      <c r="R19" s="679">
        <f>SUM(C19:Q19)</f>
        <v>8132.4728226250272</v>
      </c>
      <c r="S19" s="68"/>
    </row>
    <row r="20" spans="1:19" s="445" customFormat="1">
      <c r="A20" s="791" t="s">
        <v>302</v>
      </c>
      <c r="B20" s="796"/>
      <c r="C20" s="676">
        <f>transport!B14</f>
        <v>29.217792681948854</v>
      </c>
      <c r="D20" s="676">
        <f>transport!C14</f>
        <v>0</v>
      </c>
      <c r="E20" s="676">
        <f>transport!D14</f>
        <v>36.032371602057736</v>
      </c>
      <c r="F20" s="676">
        <f>transport!E14</f>
        <v>2606.67798418444</v>
      </c>
      <c r="G20" s="676">
        <f>transport!F14</f>
        <v>0</v>
      </c>
      <c r="H20" s="676">
        <f>transport!G14</f>
        <v>508681.09282974864</v>
      </c>
      <c r="I20" s="676">
        <f>transport!H14</f>
        <v>89408.933835938806</v>
      </c>
      <c r="J20" s="676">
        <f>transport!I14</f>
        <v>0</v>
      </c>
      <c r="K20" s="676">
        <f>transport!J14</f>
        <v>0</v>
      </c>
      <c r="L20" s="676">
        <f>transport!K14</f>
        <v>0</v>
      </c>
      <c r="M20" s="676">
        <f>transport!L14</f>
        <v>0</v>
      </c>
      <c r="N20" s="676">
        <f>transport!M14</f>
        <v>26729.51791235129</v>
      </c>
      <c r="O20" s="676">
        <f>transport!N14</f>
        <v>0</v>
      </c>
      <c r="P20" s="676">
        <f>transport!O14</f>
        <v>0</v>
      </c>
      <c r="Q20" s="677">
        <f>transport!P14</f>
        <v>0</v>
      </c>
      <c r="R20" s="679">
        <f>SUM(C20:Q20)</f>
        <v>627491.47272650711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68.079400015699775</v>
      </c>
      <c r="D22" s="794">
        <f t="shared" ref="D22:R22" si="1">SUM(D18:D21)</f>
        <v>0</v>
      </c>
      <c r="E22" s="794">
        <f t="shared" si="1"/>
        <v>36.032371602057736</v>
      </c>
      <c r="F22" s="794">
        <f t="shared" si="1"/>
        <v>2606.67798418444</v>
      </c>
      <c r="G22" s="794">
        <f t="shared" si="1"/>
        <v>0</v>
      </c>
      <c r="H22" s="794">
        <f t="shared" si="1"/>
        <v>516432.11703066365</v>
      </c>
      <c r="I22" s="794">
        <f t="shared" si="1"/>
        <v>89408.933835938806</v>
      </c>
      <c r="J22" s="794">
        <f t="shared" si="1"/>
        <v>0</v>
      </c>
      <c r="K22" s="794">
        <f t="shared" si="1"/>
        <v>0</v>
      </c>
      <c r="L22" s="794">
        <f t="shared" si="1"/>
        <v>0</v>
      </c>
      <c r="M22" s="794">
        <f t="shared" si="1"/>
        <v>0</v>
      </c>
      <c r="N22" s="794">
        <f t="shared" si="1"/>
        <v>27072.104926727559</v>
      </c>
      <c r="O22" s="794">
        <f t="shared" si="1"/>
        <v>0</v>
      </c>
      <c r="P22" s="794">
        <f t="shared" si="1"/>
        <v>0</v>
      </c>
      <c r="Q22" s="794">
        <f t="shared" si="1"/>
        <v>0</v>
      </c>
      <c r="R22" s="794">
        <f t="shared" si="1"/>
        <v>635623.94554913219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914.18238932932888</v>
      </c>
      <c r="D24" s="676">
        <f>+landbouw!C8</f>
        <v>0</v>
      </c>
      <c r="E24" s="676">
        <f>+landbouw!D8</f>
        <v>602.87795814730305</v>
      </c>
      <c r="F24" s="676">
        <f>+landbouw!E8</f>
        <v>8.6122106297757597</v>
      </c>
      <c r="G24" s="676">
        <f>+landbouw!F8</f>
        <v>2983.2805268718762</v>
      </c>
      <c r="H24" s="676">
        <f>+landbouw!G8</f>
        <v>0</v>
      </c>
      <c r="I24" s="676">
        <f>+landbouw!H8</f>
        <v>0</v>
      </c>
      <c r="J24" s="676">
        <f>+landbouw!I8</f>
        <v>0</v>
      </c>
      <c r="K24" s="676">
        <f>+landbouw!J8</f>
        <v>113.08880814232555</v>
      </c>
      <c r="L24" s="676">
        <f>+landbouw!K8</f>
        <v>0</v>
      </c>
      <c r="M24" s="676">
        <f>+landbouw!L8</f>
        <v>0</v>
      </c>
      <c r="N24" s="676">
        <f>+landbouw!M8</f>
        <v>0</v>
      </c>
      <c r="O24" s="676">
        <f>+landbouw!N8</f>
        <v>0</v>
      </c>
      <c r="P24" s="676">
        <f>+landbouw!O8</f>
        <v>0</v>
      </c>
      <c r="Q24" s="677">
        <f>+landbouw!P8</f>
        <v>0</v>
      </c>
      <c r="R24" s="679">
        <f>SUM(C24:Q24)</f>
        <v>4622.0418931206095</v>
      </c>
      <c r="S24" s="68"/>
    </row>
    <row r="25" spans="1:19" s="445" customFormat="1" ht="15" thickBot="1">
      <c r="A25" s="813" t="s">
        <v>879</v>
      </c>
      <c r="B25" s="979"/>
      <c r="C25" s="980">
        <f>IF(Onbekend_ele_kWh="---",0,Onbekend_ele_kWh)/1000+IF(REST_rest_ele_kWh="---",0,REST_rest_ele_kWh)/1000</f>
        <v>3294.7690244076498</v>
      </c>
      <c r="D25" s="980"/>
      <c r="E25" s="980">
        <f>IF(onbekend_gas_kWh="---",0,onbekend_gas_kWh)/1000+IF(REST_rest_gas_kWh="---",0,REST_rest_gas_kWh)/1000</f>
        <v>7751.9853321814999</v>
      </c>
      <c r="F25" s="980"/>
      <c r="G25" s="980"/>
      <c r="H25" s="980"/>
      <c r="I25" s="980"/>
      <c r="J25" s="980"/>
      <c r="K25" s="980"/>
      <c r="L25" s="980"/>
      <c r="M25" s="980"/>
      <c r="N25" s="980"/>
      <c r="O25" s="980"/>
      <c r="P25" s="980"/>
      <c r="Q25" s="981"/>
      <c r="R25" s="679">
        <f>SUM(C25:Q25)</f>
        <v>11046.75435658915</v>
      </c>
      <c r="S25" s="68"/>
    </row>
    <row r="26" spans="1:19" s="445" customFormat="1" ht="15.75" thickBot="1">
      <c r="A26" s="682" t="s">
        <v>880</v>
      </c>
      <c r="B26" s="799"/>
      <c r="C26" s="794">
        <f>SUM(C24:C25)</f>
        <v>4208.9514137369788</v>
      </c>
      <c r="D26" s="794">
        <f t="shared" ref="D26:R26" si="2">SUM(D24:D25)</f>
        <v>0</v>
      </c>
      <c r="E26" s="794">
        <f t="shared" si="2"/>
        <v>8354.8632903288035</v>
      </c>
      <c r="F26" s="794">
        <f t="shared" si="2"/>
        <v>8.6122106297757597</v>
      </c>
      <c r="G26" s="794">
        <f t="shared" si="2"/>
        <v>2983.2805268718762</v>
      </c>
      <c r="H26" s="794">
        <f t="shared" si="2"/>
        <v>0</v>
      </c>
      <c r="I26" s="794">
        <f t="shared" si="2"/>
        <v>0</v>
      </c>
      <c r="J26" s="794">
        <f t="shared" si="2"/>
        <v>0</v>
      </c>
      <c r="K26" s="794">
        <f t="shared" si="2"/>
        <v>113.08880814232555</v>
      </c>
      <c r="L26" s="794">
        <f t="shared" si="2"/>
        <v>0</v>
      </c>
      <c r="M26" s="794">
        <f t="shared" si="2"/>
        <v>0</v>
      </c>
      <c r="N26" s="794">
        <f t="shared" si="2"/>
        <v>0</v>
      </c>
      <c r="O26" s="794">
        <f t="shared" si="2"/>
        <v>0</v>
      </c>
      <c r="P26" s="794">
        <f t="shared" si="2"/>
        <v>0</v>
      </c>
      <c r="Q26" s="794">
        <f t="shared" si="2"/>
        <v>0</v>
      </c>
      <c r="R26" s="794">
        <f t="shared" si="2"/>
        <v>15668.79624970976</v>
      </c>
      <c r="S26" s="68"/>
    </row>
    <row r="27" spans="1:19" s="445" customFormat="1" ht="17.25" thickTop="1" thickBot="1">
      <c r="A27" s="683" t="s">
        <v>115</v>
      </c>
      <c r="B27" s="786"/>
      <c r="C27" s="684">
        <f ca="1">C22+C16+C26</f>
        <v>168454.05650824468</v>
      </c>
      <c r="D27" s="684">
        <f t="shared" ref="D27:R27" ca="1" si="3">D22+D16+D26</f>
        <v>0</v>
      </c>
      <c r="E27" s="684">
        <f t="shared" ca="1" si="3"/>
        <v>332036.74336434883</v>
      </c>
      <c r="F27" s="684">
        <f t="shared" si="3"/>
        <v>6670.8655328137247</v>
      </c>
      <c r="G27" s="684">
        <f t="shared" ca="1" si="3"/>
        <v>118072.50573237092</v>
      </c>
      <c r="H27" s="684">
        <f t="shared" si="3"/>
        <v>516432.11703066365</v>
      </c>
      <c r="I27" s="684">
        <f t="shared" si="3"/>
        <v>89408.933835938806</v>
      </c>
      <c r="J27" s="684">
        <f t="shared" si="3"/>
        <v>0</v>
      </c>
      <c r="K27" s="684">
        <f t="shared" si="3"/>
        <v>1988.052862843364</v>
      </c>
      <c r="L27" s="684">
        <f t="shared" si="3"/>
        <v>0</v>
      </c>
      <c r="M27" s="684">
        <f t="shared" ca="1" si="3"/>
        <v>0</v>
      </c>
      <c r="N27" s="684">
        <f t="shared" si="3"/>
        <v>27072.104926727559</v>
      </c>
      <c r="O27" s="684">
        <f t="shared" ca="1" si="3"/>
        <v>27298.736710909747</v>
      </c>
      <c r="P27" s="684">
        <f t="shared" si="3"/>
        <v>189.16333333333336</v>
      </c>
      <c r="Q27" s="684">
        <f t="shared" si="3"/>
        <v>514.80000000000007</v>
      </c>
      <c r="R27" s="684">
        <f t="shared" ca="1" si="3"/>
        <v>1288138.0798381944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12892.733555910216</v>
      </c>
      <c r="D40" s="676">
        <f ca="1">tertiair!C20</f>
        <v>0</v>
      </c>
      <c r="E40" s="676">
        <f ca="1">tertiair!D20</f>
        <v>13674.99389058938</v>
      </c>
      <c r="F40" s="676">
        <f>tertiair!E20</f>
        <v>144.94492081851976</v>
      </c>
      <c r="G40" s="676">
        <f ca="1">tertiair!F20</f>
        <v>3061.9347894521925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29774.607156770307</v>
      </c>
    </row>
    <row r="41" spans="1:18">
      <c r="A41" s="804" t="s">
        <v>220</v>
      </c>
      <c r="B41" s="811"/>
      <c r="C41" s="676">
        <f ca="1">huishoudens!B12</f>
        <v>15486.016644858933</v>
      </c>
      <c r="D41" s="676">
        <f ca="1">huishoudens!C12</f>
        <v>0</v>
      </c>
      <c r="E41" s="676">
        <f>huishoudens!D12</f>
        <v>40131.3436269214</v>
      </c>
      <c r="F41" s="676">
        <f>huishoudens!E12</f>
        <v>711.51038615733933</v>
      </c>
      <c r="G41" s="676">
        <f>huishoudens!F12</f>
        <v>25514.244706271489</v>
      </c>
      <c r="H41" s="676">
        <f>huishoudens!G12</f>
        <v>0</v>
      </c>
      <c r="I41" s="676">
        <f>huishoudens!H12</f>
        <v>0</v>
      </c>
      <c r="J41" s="676">
        <f>huishoudens!I12</f>
        <v>0</v>
      </c>
      <c r="K41" s="676">
        <f>huishoudens!J12</f>
        <v>613.79500476220846</v>
      </c>
      <c r="L41" s="676">
        <f>huishoudens!K12</f>
        <v>0</v>
      </c>
      <c r="M41" s="676">
        <f>huishoudens!L12</f>
        <v>0</v>
      </c>
      <c r="N41" s="676">
        <f>huishoudens!M12</f>
        <v>0</v>
      </c>
      <c r="O41" s="676">
        <f>huishoudens!N12</f>
        <v>0</v>
      </c>
      <c r="P41" s="676">
        <f>huishoudens!O12</f>
        <v>0</v>
      </c>
      <c r="Q41" s="751">
        <f>huishoudens!P12</f>
        <v>0</v>
      </c>
      <c r="R41" s="832">
        <f t="shared" ca="1" si="4"/>
        <v>82456.910368971367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6945.0340816839771</v>
      </c>
      <c r="D43" s="676">
        <f ca="1">industrie!C22</f>
        <v>0</v>
      </c>
      <c r="E43" s="676">
        <f>industrie!D22</f>
        <v>11570.123718377639</v>
      </c>
      <c r="F43" s="676">
        <f>industrie!E22</f>
        <v>64.160294750029351</v>
      </c>
      <c r="G43" s="676">
        <f>industrie!F22</f>
        <v>2152.6436341445624</v>
      </c>
      <c r="H43" s="676">
        <f>industrie!G22</f>
        <v>0</v>
      </c>
      <c r="I43" s="676">
        <f>industrie!H22</f>
        <v>0</v>
      </c>
      <c r="J43" s="676">
        <f>industrie!I22</f>
        <v>0</v>
      </c>
      <c r="K43" s="676">
        <f>industrie!J22</f>
        <v>49.942270601959009</v>
      </c>
      <c r="L43" s="676">
        <f>industrie!K22</f>
        <v>0</v>
      </c>
      <c r="M43" s="676">
        <f>industrie!L22</f>
        <v>0</v>
      </c>
      <c r="N43" s="676">
        <f>industrie!M22</f>
        <v>0</v>
      </c>
      <c r="O43" s="676">
        <f>industrie!N22</f>
        <v>0</v>
      </c>
      <c r="P43" s="676">
        <f>industrie!O22</f>
        <v>0</v>
      </c>
      <c r="Q43" s="751">
        <f>industrie!P22</f>
        <v>0</v>
      </c>
      <c r="R43" s="831">
        <f t="shared" ca="1" si="4"/>
        <v>20781.903999558166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35323.784282453125</v>
      </c>
      <c r="D46" s="709">
        <f t="shared" ref="D46:Q46" ca="1" si="5">SUM(D39:D45)</f>
        <v>0</v>
      </c>
      <c r="E46" s="709">
        <f t="shared" ca="1" si="5"/>
        <v>65376.461235888419</v>
      </c>
      <c r="F46" s="709">
        <f t="shared" si="5"/>
        <v>920.6156017258885</v>
      </c>
      <c r="G46" s="709">
        <f t="shared" ca="1" si="5"/>
        <v>30728.823129868244</v>
      </c>
      <c r="H46" s="709">
        <f t="shared" si="5"/>
        <v>0</v>
      </c>
      <c r="I46" s="709">
        <f t="shared" si="5"/>
        <v>0</v>
      </c>
      <c r="J46" s="709">
        <f t="shared" si="5"/>
        <v>0</v>
      </c>
      <c r="K46" s="709">
        <f t="shared" si="5"/>
        <v>663.73727536416743</v>
      </c>
      <c r="L46" s="709">
        <f t="shared" si="5"/>
        <v>0</v>
      </c>
      <c r="M46" s="709">
        <f t="shared" ca="1" si="5"/>
        <v>0</v>
      </c>
      <c r="N46" s="709">
        <f t="shared" si="5"/>
        <v>0</v>
      </c>
      <c r="O46" s="709">
        <f t="shared" ca="1" si="5"/>
        <v>0</v>
      </c>
      <c r="P46" s="709">
        <f t="shared" si="5"/>
        <v>0</v>
      </c>
      <c r="Q46" s="709">
        <f t="shared" si="5"/>
        <v>0</v>
      </c>
      <c r="R46" s="709">
        <f ca="1">SUM(R39:R45)</f>
        <v>133013.42152529984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8.3613345321608552</v>
      </c>
      <c r="D49" s="676">
        <f ca="1">transport!C58</f>
        <v>0</v>
      </c>
      <c r="E49" s="676">
        <f>transport!D58</f>
        <v>0</v>
      </c>
      <c r="F49" s="676">
        <f>transport!E58</f>
        <v>0</v>
      </c>
      <c r="G49" s="676">
        <f>transport!F58</f>
        <v>0</v>
      </c>
      <c r="H49" s="676">
        <f>transport!G58</f>
        <v>2069.5234616443072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2077.8847961764682</v>
      </c>
    </row>
    <row r="50" spans="1:18">
      <c r="A50" s="807" t="s">
        <v>302</v>
      </c>
      <c r="B50" s="817"/>
      <c r="C50" s="986">
        <f ca="1">transport!B18</f>
        <v>6.2864033596707092</v>
      </c>
      <c r="D50" s="986">
        <f>transport!C18</f>
        <v>0</v>
      </c>
      <c r="E50" s="986">
        <f>transport!D18</f>
        <v>7.2785390636156633</v>
      </c>
      <c r="F50" s="986">
        <f>transport!E18</f>
        <v>591.71590240986791</v>
      </c>
      <c r="G50" s="986">
        <f>transport!F18</f>
        <v>0</v>
      </c>
      <c r="H50" s="986">
        <f>transport!G18</f>
        <v>135817.85178554288</v>
      </c>
      <c r="I50" s="986">
        <f>transport!H18</f>
        <v>22262.824525148764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158685.95715552478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14.647737891831564</v>
      </c>
      <c r="D52" s="709">
        <f t="shared" ref="D52:Q52" ca="1" si="6">SUM(D48:D51)</f>
        <v>0</v>
      </c>
      <c r="E52" s="709">
        <f t="shared" si="6"/>
        <v>7.2785390636156633</v>
      </c>
      <c r="F52" s="709">
        <f t="shared" si="6"/>
        <v>591.71590240986791</v>
      </c>
      <c r="G52" s="709">
        <f t="shared" si="6"/>
        <v>0</v>
      </c>
      <c r="H52" s="709">
        <f t="shared" si="6"/>
        <v>137887.37524718718</v>
      </c>
      <c r="I52" s="709">
        <f t="shared" si="6"/>
        <v>22262.824525148764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160763.84195170124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196.69245059645502</v>
      </c>
      <c r="D54" s="986">
        <f ca="1">+landbouw!C12</f>
        <v>0</v>
      </c>
      <c r="E54" s="986">
        <f>+landbouw!D12</f>
        <v>121.78134754575522</v>
      </c>
      <c r="F54" s="986">
        <f>+landbouw!E12</f>
        <v>1.9549718129590976</v>
      </c>
      <c r="G54" s="986">
        <f>+landbouw!F12</f>
        <v>796.53590067479104</v>
      </c>
      <c r="H54" s="986">
        <f>+landbouw!G12</f>
        <v>0</v>
      </c>
      <c r="I54" s="986">
        <f>+landbouw!H12</f>
        <v>0</v>
      </c>
      <c r="J54" s="986">
        <f>+landbouw!I12</f>
        <v>0</v>
      </c>
      <c r="K54" s="986">
        <f>+landbouw!J12</f>
        <v>40.033438082383242</v>
      </c>
      <c r="L54" s="986">
        <f>+landbouw!K12</f>
        <v>0</v>
      </c>
      <c r="M54" s="986">
        <f>+landbouw!L12</f>
        <v>0</v>
      </c>
      <c r="N54" s="986">
        <f>+landbouw!M12</f>
        <v>0</v>
      </c>
      <c r="O54" s="986">
        <f>+landbouw!N12</f>
        <v>0</v>
      </c>
      <c r="P54" s="986">
        <f>+landbouw!O12</f>
        <v>0</v>
      </c>
      <c r="Q54" s="987">
        <f>+landbouw!P12</f>
        <v>0</v>
      </c>
      <c r="R54" s="708">
        <f ca="1">SUM(C54:Q54)</f>
        <v>1156.9981087123438</v>
      </c>
    </row>
    <row r="55" spans="1:18" ht="15" thickBot="1">
      <c r="A55" s="807" t="s">
        <v>879</v>
      </c>
      <c r="B55" s="817"/>
      <c r="C55" s="986">
        <f ca="1">C25*'EF ele_warmte'!B12</f>
        <v>708.8915747277357</v>
      </c>
      <c r="D55" s="986"/>
      <c r="E55" s="986">
        <f>E25*EF_CO2_aardgas</f>
        <v>1565.901037100663</v>
      </c>
      <c r="F55" s="986"/>
      <c r="G55" s="986"/>
      <c r="H55" s="986"/>
      <c r="I55" s="986"/>
      <c r="J55" s="986"/>
      <c r="K55" s="986"/>
      <c r="L55" s="986"/>
      <c r="M55" s="986"/>
      <c r="N55" s="986"/>
      <c r="O55" s="986"/>
      <c r="P55" s="986"/>
      <c r="Q55" s="987"/>
      <c r="R55" s="708">
        <f ca="1">SUM(C55:Q55)</f>
        <v>2274.7926118283985</v>
      </c>
    </row>
    <row r="56" spans="1:18" ht="15.75" thickBot="1">
      <c r="A56" s="805" t="s">
        <v>880</v>
      </c>
      <c r="B56" s="818"/>
      <c r="C56" s="709">
        <f ca="1">SUM(C54:C55)</f>
        <v>905.58402532419075</v>
      </c>
      <c r="D56" s="709">
        <f t="shared" ref="D56:Q56" ca="1" si="7">SUM(D54:D55)</f>
        <v>0</v>
      </c>
      <c r="E56" s="709">
        <f t="shared" si="7"/>
        <v>1687.6823846464181</v>
      </c>
      <c r="F56" s="709">
        <f t="shared" si="7"/>
        <v>1.9549718129590976</v>
      </c>
      <c r="G56" s="709">
        <f t="shared" si="7"/>
        <v>796.53590067479104</v>
      </c>
      <c r="H56" s="709">
        <f t="shared" si="7"/>
        <v>0</v>
      </c>
      <c r="I56" s="709">
        <f t="shared" si="7"/>
        <v>0</v>
      </c>
      <c r="J56" s="709">
        <f t="shared" si="7"/>
        <v>0</v>
      </c>
      <c r="K56" s="709">
        <f t="shared" si="7"/>
        <v>40.033438082383242</v>
      </c>
      <c r="L56" s="709">
        <f t="shared" si="7"/>
        <v>0</v>
      </c>
      <c r="M56" s="709">
        <f t="shared" si="7"/>
        <v>0</v>
      </c>
      <c r="N56" s="709">
        <f t="shared" si="7"/>
        <v>0</v>
      </c>
      <c r="O56" s="709">
        <f t="shared" si="7"/>
        <v>0</v>
      </c>
      <c r="P56" s="709">
        <f t="shared" si="7"/>
        <v>0</v>
      </c>
      <c r="Q56" s="710">
        <f t="shared" si="7"/>
        <v>0</v>
      </c>
      <c r="R56" s="711">
        <f ca="1">SUM(R54:R55)</f>
        <v>3431.7907205407423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36244.016045669145</v>
      </c>
      <c r="D61" s="717">
        <f t="shared" ref="D61:Q61" ca="1" si="8">D46+D52+D56</f>
        <v>0</v>
      </c>
      <c r="E61" s="717">
        <f t="shared" ca="1" si="8"/>
        <v>67071.422159598456</v>
      </c>
      <c r="F61" s="717">
        <f t="shared" si="8"/>
        <v>1514.2864759487154</v>
      </c>
      <c r="G61" s="717">
        <f t="shared" ca="1" si="8"/>
        <v>31525.359030543033</v>
      </c>
      <c r="H61" s="717">
        <f t="shared" si="8"/>
        <v>137887.37524718718</v>
      </c>
      <c r="I61" s="717">
        <f t="shared" si="8"/>
        <v>22262.824525148764</v>
      </c>
      <c r="J61" s="717">
        <f t="shared" si="8"/>
        <v>0</v>
      </c>
      <c r="K61" s="717">
        <f t="shared" si="8"/>
        <v>703.77071344655064</v>
      </c>
      <c r="L61" s="717">
        <f t="shared" si="8"/>
        <v>0</v>
      </c>
      <c r="M61" s="717">
        <f t="shared" ca="1" si="8"/>
        <v>0</v>
      </c>
      <c r="N61" s="717">
        <f t="shared" si="8"/>
        <v>0</v>
      </c>
      <c r="O61" s="717">
        <f t="shared" ca="1" si="8"/>
        <v>0</v>
      </c>
      <c r="P61" s="717">
        <f t="shared" si="8"/>
        <v>0</v>
      </c>
      <c r="Q61" s="717">
        <f t="shared" si="8"/>
        <v>0</v>
      </c>
      <c r="R61" s="717">
        <f ca="1">R46+R52+R56</f>
        <v>297209.05419754185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0.21515668305616165</v>
      </c>
      <c r="D63" s="761">
        <f t="shared" ca="1" si="9"/>
        <v>0</v>
      </c>
      <c r="E63" s="988">
        <f t="shared" ca="1" si="9"/>
        <v>0.20199999999999999</v>
      </c>
      <c r="F63" s="761">
        <f t="shared" si="9"/>
        <v>0.22699999999999998</v>
      </c>
      <c r="G63" s="761">
        <f t="shared" ca="1" si="9"/>
        <v>0.26699999999999996</v>
      </c>
      <c r="H63" s="761">
        <f t="shared" si="9"/>
        <v>0.26699999999999996</v>
      </c>
      <c r="I63" s="761">
        <f t="shared" si="9"/>
        <v>0.24900000000000003</v>
      </c>
      <c r="J63" s="761">
        <f t="shared" si="9"/>
        <v>0</v>
      </c>
      <c r="K63" s="761">
        <f t="shared" si="9"/>
        <v>0.35399999999999987</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4453.9839034068764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4453.9839034068764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71975.531621375048</v>
      </c>
      <c r="C4" s="449">
        <f>huishoudens!C8</f>
        <v>0</v>
      </c>
      <c r="D4" s="449">
        <f>huishoudens!D8</f>
        <v>198670.01795505642</v>
      </c>
      <c r="E4" s="449">
        <f>huishoudens!E8</f>
        <v>3134.4069874772658</v>
      </c>
      <c r="F4" s="449">
        <f>huishoudens!F8</f>
        <v>95558.968937346392</v>
      </c>
      <c r="G4" s="449">
        <f>huishoudens!G8</f>
        <v>0</v>
      </c>
      <c r="H4" s="449">
        <f>huishoudens!H8</f>
        <v>0</v>
      </c>
      <c r="I4" s="449">
        <f>huishoudens!I8</f>
        <v>0</v>
      </c>
      <c r="J4" s="449">
        <f>huishoudens!J8</f>
        <v>1733.884194243527</v>
      </c>
      <c r="K4" s="449">
        <f>huishoudens!K8</f>
        <v>0</v>
      </c>
      <c r="L4" s="449">
        <f>huishoudens!L8</f>
        <v>0</v>
      </c>
      <c r="M4" s="449">
        <f>huishoudens!M8</f>
        <v>0</v>
      </c>
      <c r="N4" s="449">
        <f>huishoudens!N8</f>
        <v>23352.8966618003</v>
      </c>
      <c r="O4" s="449">
        <f>huishoudens!O8</f>
        <v>189.16333333333336</v>
      </c>
      <c r="P4" s="450">
        <f>huishoudens!P8</f>
        <v>457.6</v>
      </c>
      <c r="Q4" s="451">
        <f>SUM(B4:P4)</f>
        <v>395072.46969063219</v>
      </c>
    </row>
    <row r="5" spans="1:17">
      <c r="A5" s="448" t="s">
        <v>155</v>
      </c>
      <c r="B5" s="449">
        <f ca="1">tertiair!B16</f>
        <v>57899.937535920268</v>
      </c>
      <c r="C5" s="449">
        <f ca="1">tertiair!C16</f>
        <v>0</v>
      </c>
      <c r="D5" s="449">
        <f ca="1">tertiair!D16</f>
        <v>67697.989557373163</v>
      </c>
      <c r="E5" s="449">
        <f>tertiair!E16</f>
        <v>638.52388025779624</v>
      </c>
      <c r="F5" s="449">
        <f ca="1">tertiair!F16</f>
        <v>11467.920559746039</v>
      </c>
      <c r="G5" s="449">
        <f>tertiair!G16</f>
        <v>0</v>
      </c>
      <c r="H5" s="449">
        <f>tertiair!H16</f>
        <v>0</v>
      </c>
      <c r="I5" s="449">
        <f>tertiair!I16</f>
        <v>0</v>
      </c>
      <c r="J5" s="449">
        <f>tertiair!J16</f>
        <v>0</v>
      </c>
      <c r="K5" s="449">
        <f>tertiair!K16</f>
        <v>0</v>
      </c>
      <c r="L5" s="449">
        <f ca="1">tertiair!L16</f>
        <v>0</v>
      </c>
      <c r="M5" s="449">
        <f>tertiair!M16</f>
        <v>0</v>
      </c>
      <c r="N5" s="449">
        <f ca="1">tertiair!N16</f>
        <v>2826.2246185126141</v>
      </c>
      <c r="O5" s="449">
        <f>tertiair!O16</f>
        <v>0</v>
      </c>
      <c r="P5" s="450">
        <f>tertiair!P16</f>
        <v>57.2</v>
      </c>
      <c r="Q5" s="448">
        <f t="shared" ref="Q5:Q14" ca="1" si="0">SUM(B5:P5)</f>
        <v>140587.79615180989</v>
      </c>
    </row>
    <row r="6" spans="1:17">
      <c r="A6" s="448" t="s">
        <v>193</v>
      </c>
      <c r="B6" s="449">
        <f>'openbare verlichting'!B8</f>
        <v>2022.596</v>
      </c>
      <c r="C6" s="449"/>
      <c r="D6" s="449"/>
      <c r="E6" s="449"/>
      <c r="F6" s="449"/>
      <c r="G6" s="449"/>
      <c r="H6" s="449"/>
      <c r="I6" s="449"/>
      <c r="J6" s="449"/>
      <c r="K6" s="449"/>
      <c r="L6" s="449"/>
      <c r="M6" s="449"/>
      <c r="N6" s="449"/>
      <c r="O6" s="449"/>
      <c r="P6" s="450"/>
      <c r="Q6" s="448">
        <f t="shared" si="0"/>
        <v>2022.596</v>
      </c>
    </row>
    <row r="7" spans="1:17">
      <c r="A7" s="448" t="s">
        <v>111</v>
      </c>
      <c r="B7" s="449">
        <f>landbouw!B8</f>
        <v>914.18238932932888</v>
      </c>
      <c r="C7" s="449">
        <f>landbouw!C8</f>
        <v>0</v>
      </c>
      <c r="D7" s="449">
        <f>landbouw!D8</f>
        <v>602.87795814730305</v>
      </c>
      <c r="E7" s="449">
        <f>landbouw!E8</f>
        <v>8.6122106297757597</v>
      </c>
      <c r="F7" s="449">
        <f>landbouw!F8</f>
        <v>2983.2805268718762</v>
      </c>
      <c r="G7" s="449">
        <f>landbouw!G8</f>
        <v>0</v>
      </c>
      <c r="H7" s="449">
        <f>landbouw!H8</f>
        <v>0</v>
      </c>
      <c r="I7" s="449">
        <f>landbouw!I8</f>
        <v>0</v>
      </c>
      <c r="J7" s="449">
        <f>landbouw!J8</f>
        <v>113.08880814232555</v>
      </c>
      <c r="K7" s="449">
        <f>landbouw!K8</f>
        <v>0</v>
      </c>
      <c r="L7" s="449">
        <f>landbouw!L8</f>
        <v>0</v>
      </c>
      <c r="M7" s="449">
        <f>landbouw!M8</f>
        <v>0</v>
      </c>
      <c r="N7" s="449">
        <f>landbouw!N8</f>
        <v>0</v>
      </c>
      <c r="O7" s="449">
        <f>landbouw!O8</f>
        <v>0</v>
      </c>
      <c r="P7" s="450">
        <f>landbouw!P8</f>
        <v>0</v>
      </c>
      <c r="Q7" s="448">
        <f t="shared" si="0"/>
        <v>4622.0418931206095</v>
      </c>
    </row>
    <row r="8" spans="1:17">
      <c r="A8" s="448" t="s">
        <v>671</v>
      </c>
      <c r="B8" s="449">
        <f>industrie!B18</f>
        <v>32278.960537196683</v>
      </c>
      <c r="C8" s="449">
        <f>industrie!C18</f>
        <v>0</v>
      </c>
      <c r="D8" s="449">
        <f>industrie!D18</f>
        <v>57277.84018998831</v>
      </c>
      <c r="E8" s="449">
        <f>industrie!E18</f>
        <v>282.64447026444645</v>
      </c>
      <c r="F8" s="449">
        <f>industrie!F18</f>
        <v>8062.335708406601</v>
      </c>
      <c r="G8" s="449">
        <f>industrie!G18</f>
        <v>0</v>
      </c>
      <c r="H8" s="449">
        <f>industrie!H18</f>
        <v>0</v>
      </c>
      <c r="I8" s="449">
        <f>industrie!I18</f>
        <v>0</v>
      </c>
      <c r="J8" s="449">
        <f>industrie!J18</f>
        <v>141.07986045751133</v>
      </c>
      <c r="K8" s="449">
        <f>industrie!K18</f>
        <v>0</v>
      </c>
      <c r="L8" s="449">
        <f>industrie!L18</f>
        <v>0</v>
      </c>
      <c r="M8" s="449">
        <f>industrie!M18</f>
        <v>0</v>
      </c>
      <c r="N8" s="449">
        <f>industrie!N18</f>
        <v>1119.6154305968353</v>
      </c>
      <c r="O8" s="449">
        <f>industrie!O18</f>
        <v>0</v>
      </c>
      <c r="P8" s="450">
        <f>industrie!P18</f>
        <v>0</v>
      </c>
      <c r="Q8" s="448">
        <f t="shared" si="0"/>
        <v>99162.4761969104</v>
      </c>
    </row>
    <row r="9" spans="1:17" s="454" customFormat="1">
      <c r="A9" s="452" t="s">
        <v>568</v>
      </c>
      <c r="B9" s="453">
        <f>transport!B14</f>
        <v>29.217792681948854</v>
      </c>
      <c r="C9" s="453">
        <f>transport!C14</f>
        <v>0</v>
      </c>
      <c r="D9" s="453">
        <f>transport!D14</f>
        <v>36.032371602057736</v>
      </c>
      <c r="E9" s="453">
        <f>transport!E14</f>
        <v>2606.67798418444</v>
      </c>
      <c r="F9" s="453">
        <f>transport!F14</f>
        <v>0</v>
      </c>
      <c r="G9" s="453">
        <f>transport!G14</f>
        <v>508681.09282974864</v>
      </c>
      <c r="H9" s="453">
        <f>transport!H14</f>
        <v>89408.933835938806</v>
      </c>
      <c r="I9" s="453">
        <f>transport!I14</f>
        <v>0</v>
      </c>
      <c r="J9" s="453">
        <f>transport!J14</f>
        <v>0</v>
      </c>
      <c r="K9" s="453">
        <f>transport!K14</f>
        <v>0</v>
      </c>
      <c r="L9" s="453">
        <f>transport!L14</f>
        <v>0</v>
      </c>
      <c r="M9" s="453">
        <f>transport!M14</f>
        <v>26729.51791235129</v>
      </c>
      <c r="N9" s="453">
        <f>transport!N14</f>
        <v>0</v>
      </c>
      <c r="O9" s="453">
        <f>transport!O14</f>
        <v>0</v>
      </c>
      <c r="P9" s="453">
        <f>transport!P14</f>
        <v>0</v>
      </c>
      <c r="Q9" s="452">
        <f>SUM(B9:P9)</f>
        <v>627491.47272650711</v>
      </c>
    </row>
    <row r="10" spans="1:17">
      <c r="A10" s="448" t="s">
        <v>558</v>
      </c>
      <c r="B10" s="449">
        <f>transport!B54</f>
        <v>38.861607333750918</v>
      </c>
      <c r="C10" s="449">
        <f>transport!C54</f>
        <v>0</v>
      </c>
      <c r="D10" s="449">
        <f>transport!D54</f>
        <v>0</v>
      </c>
      <c r="E10" s="449">
        <f>transport!E54</f>
        <v>0</v>
      </c>
      <c r="F10" s="449">
        <f>transport!F54</f>
        <v>0</v>
      </c>
      <c r="G10" s="449">
        <f>transport!G54</f>
        <v>7751.024200915007</v>
      </c>
      <c r="H10" s="449">
        <f>transport!H54</f>
        <v>0</v>
      </c>
      <c r="I10" s="449">
        <f>transport!I54</f>
        <v>0</v>
      </c>
      <c r="J10" s="449">
        <f>transport!J54</f>
        <v>0</v>
      </c>
      <c r="K10" s="449">
        <f>transport!K54</f>
        <v>0</v>
      </c>
      <c r="L10" s="449">
        <f>transport!L54</f>
        <v>0</v>
      </c>
      <c r="M10" s="449">
        <f>transport!M54</f>
        <v>342.58701437626939</v>
      </c>
      <c r="N10" s="449">
        <f>transport!N54</f>
        <v>0</v>
      </c>
      <c r="O10" s="449">
        <f>transport!O54</f>
        <v>0</v>
      </c>
      <c r="P10" s="450">
        <f>transport!P54</f>
        <v>0</v>
      </c>
      <c r="Q10" s="448">
        <f t="shared" si="0"/>
        <v>8132.4728226250272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3294.7690244076498</v>
      </c>
      <c r="C14" s="456"/>
      <c r="D14" s="456">
        <f>'SEAP template'!E25</f>
        <v>7751.9853321814999</v>
      </c>
      <c r="E14" s="456"/>
      <c r="F14" s="456"/>
      <c r="G14" s="456"/>
      <c r="H14" s="456"/>
      <c r="I14" s="456"/>
      <c r="J14" s="456"/>
      <c r="K14" s="456"/>
      <c r="L14" s="456"/>
      <c r="M14" s="456"/>
      <c r="N14" s="456"/>
      <c r="O14" s="456"/>
      <c r="P14" s="457"/>
      <c r="Q14" s="448">
        <f t="shared" si="0"/>
        <v>11046.75435658915</v>
      </c>
    </row>
    <row r="15" spans="1:17" s="461" customFormat="1">
      <c r="A15" s="458" t="s">
        <v>562</v>
      </c>
      <c r="B15" s="459">
        <f ca="1">SUM(B4:B14)</f>
        <v>168454.05650824468</v>
      </c>
      <c r="C15" s="459">
        <f t="shared" ref="C15:Q15" ca="1" si="1">SUM(C4:C14)</f>
        <v>0</v>
      </c>
      <c r="D15" s="459">
        <f t="shared" ca="1" si="1"/>
        <v>332036.74336434883</v>
      </c>
      <c r="E15" s="459">
        <f t="shared" si="1"/>
        <v>6670.8655328137238</v>
      </c>
      <c r="F15" s="459">
        <f t="shared" ca="1" si="1"/>
        <v>118072.50573237092</v>
      </c>
      <c r="G15" s="459">
        <f t="shared" si="1"/>
        <v>516432.11703066365</v>
      </c>
      <c r="H15" s="459">
        <f t="shared" si="1"/>
        <v>89408.933835938806</v>
      </c>
      <c r="I15" s="459">
        <f t="shared" si="1"/>
        <v>0</v>
      </c>
      <c r="J15" s="459">
        <f t="shared" si="1"/>
        <v>1988.0528628433638</v>
      </c>
      <c r="K15" s="459">
        <f t="shared" si="1"/>
        <v>0</v>
      </c>
      <c r="L15" s="459">
        <f t="shared" ca="1" si="1"/>
        <v>0</v>
      </c>
      <c r="M15" s="459">
        <f t="shared" si="1"/>
        <v>27072.104926727559</v>
      </c>
      <c r="N15" s="459">
        <f t="shared" ca="1" si="1"/>
        <v>27298.736710909747</v>
      </c>
      <c r="O15" s="459">
        <f t="shared" si="1"/>
        <v>189.16333333333336</v>
      </c>
      <c r="P15" s="459">
        <f t="shared" si="1"/>
        <v>514.80000000000007</v>
      </c>
      <c r="Q15" s="459">
        <f t="shared" ca="1" si="1"/>
        <v>1288138.0798381942</v>
      </c>
    </row>
    <row r="17" spans="1:17">
      <c r="A17" s="462" t="s">
        <v>563</v>
      </c>
      <c r="B17" s="766">
        <f ca="1">huishoudens!B10</f>
        <v>0.21515668305616167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15486.016644858933</v>
      </c>
      <c r="C22" s="449">
        <f t="shared" ref="C22:C32" ca="1" si="3">C4*$C$17</f>
        <v>0</v>
      </c>
      <c r="D22" s="449">
        <f t="shared" ref="D22:D32" si="4">D4*$D$17</f>
        <v>40131.3436269214</v>
      </c>
      <c r="E22" s="449">
        <f t="shared" ref="E22:E32" si="5">E4*$E$17</f>
        <v>711.51038615733933</v>
      </c>
      <c r="F22" s="449">
        <f t="shared" ref="F22:F32" si="6">F4*$F$17</f>
        <v>25514.244706271489</v>
      </c>
      <c r="G22" s="449">
        <f t="shared" ref="G22:G32" si="7">G4*$G$17</f>
        <v>0</v>
      </c>
      <c r="H22" s="449">
        <f t="shared" ref="H22:H32" si="8">H4*$H$17</f>
        <v>0</v>
      </c>
      <c r="I22" s="449">
        <f t="shared" ref="I22:I32" si="9">I4*$I$17</f>
        <v>0</v>
      </c>
      <c r="J22" s="449">
        <f t="shared" ref="J22:J32" si="10">J4*$J$17</f>
        <v>613.79500476220846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82456.910368971367</v>
      </c>
    </row>
    <row r="23" spans="1:17">
      <c r="A23" s="448" t="s">
        <v>155</v>
      </c>
      <c r="B23" s="449">
        <f t="shared" ca="1" si="2"/>
        <v>12457.558509387556</v>
      </c>
      <c r="C23" s="449">
        <f t="shared" ca="1" si="3"/>
        <v>0</v>
      </c>
      <c r="D23" s="449">
        <f t="shared" ca="1" si="4"/>
        <v>13674.99389058938</v>
      </c>
      <c r="E23" s="449">
        <f t="shared" si="5"/>
        <v>144.94492081851976</v>
      </c>
      <c r="F23" s="449">
        <f t="shared" ca="1" si="6"/>
        <v>3061.9347894521925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29339.43211024765</v>
      </c>
    </row>
    <row r="24" spans="1:17">
      <c r="A24" s="448" t="s">
        <v>193</v>
      </c>
      <c r="B24" s="449">
        <f t="shared" ca="1" si="2"/>
        <v>435.17504652266035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435.17504652266035</v>
      </c>
    </row>
    <row r="25" spans="1:17">
      <c r="A25" s="448" t="s">
        <v>111</v>
      </c>
      <c r="B25" s="449">
        <f t="shared" ca="1" si="2"/>
        <v>196.69245059645502</v>
      </c>
      <c r="C25" s="449">
        <f t="shared" ca="1" si="3"/>
        <v>0</v>
      </c>
      <c r="D25" s="449">
        <f t="shared" si="4"/>
        <v>121.78134754575522</v>
      </c>
      <c r="E25" s="449">
        <f t="shared" si="5"/>
        <v>1.9549718129590976</v>
      </c>
      <c r="F25" s="449">
        <f t="shared" si="6"/>
        <v>796.53590067479104</v>
      </c>
      <c r="G25" s="449">
        <f t="shared" si="7"/>
        <v>0</v>
      </c>
      <c r="H25" s="449">
        <f t="shared" si="8"/>
        <v>0</v>
      </c>
      <c r="I25" s="449">
        <f t="shared" si="9"/>
        <v>0</v>
      </c>
      <c r="J25" s="449">
        <f t="shared" si="10"/>
        <v>40.033438082383242</v>
      </c>
      <c r="K25" s="449">
        <f t="shared" si="11"/>
        <v>0</v>
      </c>
      <c r="L25" s="449">
        <f t="shared" si="12"/>
        <v>0</v>
      </c>
      <c r="M25" s="449">
        <f t="shared" si="13"/>
        <v>0</v>
      </c>
      <c r="N25" s="449">
        <f t="shared" si="14"/>
        <v>0</v>
      </c>
      <c r="O25" s="449">
        <f t="shared" si="15"/>
        <v>0</v>
      </c>
      <c r="P25" s="450">
        <f t="shared" si="16"/>
        <v>0</v>
      </c>
      <c r="Q25" s="448">
        <f t="shared" ca="1" si="17"/>
        <v>1156.9981087123438</v>
      </c>
    </row>
    <row r="26" spans="1:17">
      <c r="A26" s="448" t="s">
        <v>671</v>
      </c>
      <c r="B26" s="449">
        <f t="shared" ca="1" si="2"/>
        <v>6945.0340816839771</v>
      </c>
      <c r="C26" s="449">
        <f t="shared" ca="1" si="3"/>
        <v>0</v>
      </c>
      <c r="D26" s="449">
        <f t="shared" si="4"/>
        <v>11570.123718377639</v>
      </c>
      <c r="E26" s="449">
        <f t="shared" si="5"/>
        <v>64.160294750029351</v>
      </c>
      <c r="F26" s="449">
        <f t="shared" si="6"/>
        <v>2152.6436341445624</v>
      </c>
      <c r="G26" s="449">
        <f t="shared" si="7"/>
        <v>0</v>
      </c>
      <c r="H26" s="449">
        <f t="shared" si="8"/>
        <v>0</v>
      </c>
      <c r="I26" s="449">
        <f t="shared" si="9"/>
        <v>0</v>
      </c>
      <c r="J26" s="449">
        <f t="shared" si="10"/>
        <v>49.942270601959009</v>
      </c>
      <c r="K26" s="449">
        <f t="shared" si="11"/>
        <v>0</v>
      </c>
      <c r="L26" s="449">
        <f t="shared" si="12"/>
        <v>0</v>
      </c>
      <c r="M26" s="449">
        <f t="shared" si="13"/>
        <v>0</v>
      </c>
      <c r="N26" s="449">
        <f t="shared" si="14"/>
        <v>0</v>
      </c>
      <c r="O26" s="449">
        <f t="shared" si="15"/>
        <v>0</v>
      </c>
      <c r="P26" s="450">
        <f t="shared" si="16"/>
        <v>0</v>
      </c>
      <c r="Q26" s="448">
        <f t="shared" ca="1" si="17"/>
        <v>20781.903999558166</v>
      </c>
    </row>
    <row r="27" spans="1:17" s="454" customFormat="1">
      <c r="A27" s="452" t="s">
        <v>568</v>
      </c>
      <c r="B27" s="760">
        <f t="shared" ca="1" si="2"/>
        <v>6.2864033596707092</v>
      </c>
      <c r="C27" s="453">
        <f t="shared" ca="1" si="3"/>
        <v>0</v>
      </c>
      <c r="D27" s="453">
        <f t="shared" si="4"/>
        <v>7.2785390636156633</v>
      </c>
      <c r="E27" s="453">
        <f t="shared" si="5"/>
        <v>591.71590240986791</v>
      </c>
      <c r="F27" s="453">
        <f t="shared" si="6"/>
        <v>0</v>
      </c>
      <c r="G27" s="453">
        <f t="shared" si="7"/>
        <v>135817.85178554288</v>
      </c>
      <c r="H27" s="453">
        <f t="shared" si="8"/>
        <v>22262.824525148764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158685.95715552478</v>
      </c>
    </row>
    <row r="28" spans="1:17">
      <c r="A28" s="448" t="s">
        <v>558</v>
      </c>
      <c r="B28" s="449">
        <f t="shared" ca="1" si="2"/>
        <v>8.3613345321608552</v>
      </c>
      <c r="C28" s="449">
        <f t="shared" ca="1" si="3"/>
        <v>0</v>
      </c>
      <c r="D28" s="449">
        <f t="shared" si="4"/>
        <v>0</v>
      </c>
      <c r="E28" s="449">
        <f t="shared" si="5"/>
        <v>0</v>
      </c>
      <c r="F28" s="449">
        <f t="shared" si="6"/>
        <v>0</v>
      </c>
      <c r="G28" s="449">
        <f t="shared" si="7"/>
        <v>2069.5234616443072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2077.8847961764682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708.8915747277357</v>
      </c>
      <c r="C32" s="449">
        <f t="shared" ca="1" si="3"/>
        <v>0</v>
      </c>
      <c r="D32" s="449">
        <f t="shared" si="4"/>
        <v>1565.901037100663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2274.7926118283985</v>
      </c>
    </row>
    <row r="33" spans="1:17" s="461" customFormat="1">
      <c r="A33" s="458" t="s">
        <v>562</v>
      </c>
      <c r="B33" s="459">
        <f ca="1">SUM(B22:B32)</f>
        <v>36244.016045669145</v>
      </c>
      <c r="C33" s="459">
        <f t="shared" ref="C33:Q33" ca="1" si="18">SUM(C22:C32)</f>
        <v>0</v>
      </c>
      <c r="D33" s="459">
        <f t="shared" ca="1" si="18"/>
        <v>67071.422159598456</v>
      </c>
      <c r="E33" s="459">
        <f t="shared" si="18"/>
        <v>1514.2864759487156</v>
      </c>
      <c r="F33" s="459">
        <f t="shared" ca="1" si="18"/>
        <v>31525.359030543033</v>
      </c>
      <c r="G33" s="459">
        <f t="shared" si="18"/>
        <v>137887.37524718718</v>
      </c>
      <c r="H33" s="459">
        <f t="shared" si="18"/>
        <v>22262.824525148764</v>
      </c>
      <c r="I33" s="459">
        <f t="shared" si="18"/>
        <v>0</v>
      </c>
      <c r="J33" s="459">
        <f t="shared" si="18"/>
        <v>703.77071344655064</v>
      </c>
      <c r="K33" s="459">
        <f t="shared" si="18"/>
        <v>0</v>
      </c>
      <c r="L33" s="459">
        <f t="shared" ca="1" si="18"/>
        <v>0</v>
      </c>
      <c r="M33" s="459">
        <f t="shared" si="18"/>
        <v>0</v>
      </c>
      <c r="N33" s="459">
        <f t="shared" ca="1" si="18"/>
        <v>0</v>
      </c>
      <c r="O33" s="459">
        <f t="shared" si="18"/>
        <v>0</v>
      </c>
      <c r="P33" s="459">
        <f t="shared" si="18"/>
        <v>0</v>
      </c>
      <c r="Q33" s="459">
        <f t="shared" ca="1" si="18"/>
        <v>297209.05419754185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4453.9839034068764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4453.9839034068764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0.21515668305616167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0.21515668305616167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0.21515668305616167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0.21515668305616167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16468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1241</v>
      </c>
      <c r="C14" s="327"/>
      <c r="D14" s="327"/>
      <c r="E14" s="327"/>
      <c r="F14" s="327"/>
    </row>
    <row r="15" spans="1:6">
      <c r="A15" s="1295" t="s">
        <v>183</v>
      </c>
      <c r="B15" s="1296">
        <v>0</v>
      </c>
      <c r="C15" s="327"/>
      <c r="D15" s="327"/>
      <c r="E15" s="327"/>
      <c r="F15" s="327"/>
    </row>
    <row r="16" spans="1:6">
      <c r="A16" s="1295" t="s">
        <v>6</v>
      </c>
      <c r="B16" s="1296">
        <v>24</v>
      </c>
      <c r="C16" s="327"/>
      <c r="D16" s="327"/>
      <c r="E16" s="327"/>
      <c r="F16" s="327"/>
    </row>
    <row r="17" spans="1:6">
      <c r="A17" s="1295" t="s">
        <v>7</v>
      </c>
      <c r="B17" s="1296">
        <v>319</v>
      </c>
      <c r="C17" s="327"/>
      <c r="D17" s="327"/>
      <c r="E17" s="327"/>
      <c r="F17" s="327"/>
    </row>
    <row r="18" spans="1:6">
      <c r="A18" s="1295" t="s">
        <v>8</v>
      </c>
      <c r="B18" s="1296">
        <v>338</v>
      </c>
      <c r="C18" s="327"/>
      <c r="D18" s="327"/>
      <c r="E18" s="327"/>
      <c r="F18" s="327"/>
    </row>
    <row r="19" spans="1:6">
      <c r="A19" s="1295" t="s">
        <v>9</v>
      </c>
      <c r="B19" s="1296">
        <v>348</v>
      </c>
      <c r="C19" s="327"/>
      <c r="D19" s="327"/>
      <c r="E19" s="327"/>
      <c r="F19" s="327"/>
    </row>
    <row r="20" spans="1:6">
      <c r="A20" s="1295" t="s">
        <v>10</v>
      </c>
      <c r="B20" s="1296">
        <v>269</v>
      </c>
      <c r="C20" s="327"/>
      <c r="D20" s="327"/>
      <c r="E20" s="327"/>
      <c r="F20" s="327"/>
    </row>
    <row r="21" spans="1:6">
      <c r="A21" s="1295" t="s">
        <v>11</v>
      </c>
      <c r="B21" s="1296">
        <v>0</v>
      </c>
      <c r="C21" s="327"/>
      <c r="D21" s="327"/>
      <c r="E21" s="327"/>
      <c r="F21" s="327"/>
    </row>
    <row r="22" spans="1:6">
      <c r="A22" s="1295" t="s">
        <v>12</v>
      </c>
      <c r="B22" s="1296">
        <v>22</v>
      </c>
      <c r="C22" s="327"/>
      <c r="D22" s="327"/>
      <c r="E22" s="327"/>
      <c r="F22" s="327"/>
    </row>
    <row r="23" spans="1:6">
      <c r="A23" s="1295" t="s">
        <v>13</v>
      </c>
      <c r="B23" s="1296">
        <v>0</v>
      </c>
      <c r="C23" s="327"/>
      <c r="D23" s="327"/>
      <c r="E23" s="327"/>
      <c r="F23" s="327"/>
    </row>
    <row r="24" spans="1:6">
      <c r="A24" s="1295" t="s">
        <v>14</v>
      </c>
      <c r="B24" s="1296">
        <v>1</v>
      </c>
      <c r="C24" s="327"/>
      <c r="D24" s="327"/>
      <c r="E24" s="327"/>
      <c r="F24" s="327"/>
    </row>
    <row r="25" spans="1:6">
      <c r="A25" s="1295" t="s">
        <v>15</v>
      </c>
      <c r="B25" s="1296">
        <v>9</v>
      </c>
      <c r="C25" s="327"/>
      <c r="D25" s="327"/>
      <c r="E25" s="327"/>
      <c r="F25" s="327"/>
    </row>
    <row r="26" spans="1:6">
      <c r="A26" s="1295" t="s">
        <v>16</v>
      </c>
      <c r="B26" s="1296">
        <v>47</v>
      </c>
      <c r="C26" s="327"/>
      <c r="D26" s="327"/>
      <c r="E26" s="327"/>
      <c r="F26" s="327"/>
    </row>
    <row r="27" spans="1:6">
      <c r="A27" s="1295" t="s">
        <v>17</v>
      </c>
      <c r="B27" s="1296">
        <v>7</v>
      </c>
      <c r="C27" s="327"/>
      <c r="D27" s="327"/>
      <c r="E27" s="327"/>
      <c r="F27" s="327"/>
    </row>
    <row r="28" spans="1:6" s="44" customFormat="1">
      <c r="A28" s="1297" t="s">
        <v>18</v>
      </c>
      <c r="B28" s="1298">
        <v>288</v>
      </c>
      <c r="C28" s="333"/>
      <c r="D28" s="333"/>
      <c r="E28" s="333"/>
      <c r="F28" s="333"/>
    </row>
    <row r="29" spans="1:6">
      <c r="A29" s="1297" t="s">
        <v>961</v>
      </c>
      <c r="B29" s="1298">
        <v>226</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17618</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4</v>
      </c>
      <c r="D38" s="1296">
        <v>482515.62875200901</v>
      </c>
      <c r="E38" s="1296">
        <v>9</v>
      </c>
      <c r="F38" s="1296">
        <v>86022.486773396202</v>
      </c>
    </row>
    <row r="39" spans="1:6">
      <c r="A39" s="1295" t="s">
        <v>29</v>
      </c>
      <c r="B39" s="1295" t="s">
        <v>30</v>
      </c>
      <c r="C39" s="1296">
        <v>10966</v>
      </c>
      <c r="D39" s="1296">
        <v>220255008.81935301</v>
      </c>
      <c r="E39" s="1296">
        <v>16398</v>
      </c>
      <c r="F39" s="1296">
        <v>68616740.598598897</v>
      </c>
    </row>
    <row r="40" spans="1:6">
      <c r="A40" s="1295" t="s">
        <v>29</v>
      </c>
      <c r="B40" s="1295" t="s">
        <v>28</v>
      </c>
      <c r="C40" s="1296">
        <v>0</v>
      </c>
      <c r="D40" s="1296">
        <v>0</v>
      </c>
      <c r="E40" s="1296">
        <v>0</v>
      </c>
      <c r="F40" s="1296">
        <v>0</v>
      </c>
    </row>
    <row r="41" spans="1:6">
      <c r="A41" s="1295" t="s">
        <v>31</v>
      </c>
      <c r="B41" s="1295" t="s">
        <v>32</v>
      </c>
      <c r="C41" s="1296">
        <v>53</v>
      </c>
      <c r="D41" s="1296">
        <v>2695340.5872594798</v>
      </c>
      <c r="E41" s="1296">
        <v>175</v>
      </c>
      <c r="F41" s="1296">
        <v>3087411.2723200298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11</v>
      </c>
      <c r="F44" s="1296">
        <v>158828.595466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6</v>
      </c>
      <c r="D47" s="1296">
        <v>198387.92851947999</v>
      </c>
      <c r="E47" s="1296">
        <v>6</v>
      </c>
      <c r="F47" s="1296">
        <v>52975.592740150503</v>
      </c>
    </row>
    <row r="48" spans="1:6">
      <c r="A48" s="1295" t="s">
        <v>31</v>
      </c>
      <c r="B48" s="1295" t="s">
        <v>28</v>
      </c>
      <c r="C48" s="1296">
        <v>67</v>
      </c>
      <c r="D48" s="1296">
        <v>59884509.220648997</v>
      </c>
      <c r="E48" s="1296">
        <v>95</v>
      </c>
      <c r="F48" s="1296">
        <v>27477374.869723201</v>
      </c>
    </row>
    <row r="49" spans="1:6">
      <c r="A49" s="1295" t="s">
        <v>31</v>
      </c>
      <c r="B49" s="1295" t="s">
        <v>39</v>
      </c>
      <c r="C49" s="1296">
        <v>0</v>
      </c>
      <c r="D49" s="1296">
        <v>0</v>
      </c>
      <c r="E49" s="1296">
        <v>3</v>
      </c>
      <c r="F49" s="1296">
        <v>16169.8279447736</v>
      </c>
    </row>
    <row r="50" spans="1:6">
      <c r="A50" s="1295" t="s">
        <v>31</v>
      </c>
      <c r="B50" s="1295" t="s">
        <v>40</v>
      </c>
      <c r="C50" s="1296">
        <v>8</v>
      </c>
      <c r="D50" s="1296">
        <v>722693.73806018895</v>
      </c>
      <c r="E50" s="1296">
        <v>21</v>
      </c>
      <c r="F50" s="1296">
        <v>1486200.3790025299</v>
      </c>
    </row>
    <row r="51" spans="1:6">
      <c r="A51" s="1295" t="s">
        <v>41</v>
      </c>
      <c r="B51" s="1295" t="s">
        <v>42</v>
      </c>
      <c r="C51" s="1296">
        <v>4</v>
      </c>
      <c r="D51" s="1296">
        <v>90574.875681617996</v>
      </c>
      <c r="E51" s="1296">
        <v>68</v>
      </c>
      <c r="F51" s="1296">
        <v>490079.32234781998</v>
      </c>
    </row>
    <row r="52" spans="1:6">
      <c r="A52" s="1295" t="s">
        <v>41</v>
      </c>
      <c r="B52" s="1295" t="s">
        <v>28</v>
      </c>
      <c r="C52" s="1296">
        <v>11</v>
      </c>
      <c r="D52" s="1296">
        <v>577804.23534643406</v>
      </c>
      <c r="E52" s="1296">
        <v>14</v>
      </c>
      <c r="F52" s="1296">
        <v>424103.06698150898</v>
      </c>
    </row>
    <row r="53" spans="1:6">
      <c r="A53" s="1295" t="s">
        <v>43</v>
      </c>
      <c r="B53" s="1295" t="s">
        <v>44</v>
      </c>
      <c r="C53" s="1296">
        <v>284</v>
      </c>
      <c r="D53" s="1296">
        <v>7751985.3321815003</v>
      </c>
      <c r="E53" s="1296">
        <v>544</v>
      </c>
      <c r="F53" s="1296">
        <v>3294769.0244076499</v>
      </c>
    </row>
    <row r="54" spans="1:6">
      <c r="A54" s="1295" t="s">
        <v>45</v>
      </c>
      <c r="B54" s="1295" t="s">
        <v>46</v>
      </c>
      <c r="C54" s="1296">
        <v>0</v>
      </c>
      <c r="D54" s="1296">
        <v>0</v>
      </c>
      <c r="E54" s="1296">
        <v>1</v>
      </c>
      <c r="F54" s="1296">
        <v>2022596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55</v>
      </c>
      <c r="D57" s="1296">
        <v>1866169.20105696</v>
      </c>
      <c r="E57" s="1296">
        <v>127</v>
      </c>
      <c r="F57" s="1296">
        <v>2156435.35038281</v>
      </c>
    </row>
    <row r="58" spans="1:6">
      <c r="A58" s="1295" t="s">
        <v>48</v>
      </c>
      <c r="B58" s="1295" t="s">
        <v>50</v>
      </c>
      <c r="C58" s="1296">
        <v>28</v>
      </c>
      <c r="D58" s="1296">
        <v>1963976.48299818</v>
      </c>
      <c r="E58" s="1296">
        <v>57</v>
      </c>
      <c r="F58" s="1296">
        <v>2046860.36083184</v>
      </c>
    </row>
    <row r="59" spans="1:6">
      <c r="A59" s="1295" t="s">
        <v>48</v>
      </c>
      <c r="B59" s="1295" t="s">
        <v>51</v>
      </c>
      <c r="C59" s="1296">
        <v>150</v>
      </c>
      <c r="D59" s="1296">
        <v>9442997.2808445599</v>
      </c>
      <c r="E59" s="1296">
        <v>364</v>
      </c>
      <c r="F59" s="1296">
        <v>12212076.8323252</v>
      </c>
    </row>
    <row r="60" spans="1:6">
      <c r="A60" s="1295" t="s">
        <v>48</v>
      </c>
      <c r="B60" s="1295" t="s">
        <v>52</v>
      </c>
      <c r="C60" s="1296">
        <v>97</v>
      </c>
      <c r="D60" s="1296">
        <v>6726283.1988530597</v>
      </c>
      <c r="E60" s="1296">
        <v>137</v>
      </c>
      <c r="F60" s="1296">
        <v>6491349.8746298105</v>
      </c>
    </row>
    <row r="61" spans="1:6">
      <c r="A61" s="1295" t="s">
        <v>48</v>
      </c>
      <c r="B61" s="1295" t="s">
        <v>53</v>
      </c>
      <c r="C61" s="1296">
        <v>326</v>
      </c>
      <c r="D61" s="1296">
        <v>27143458.1596977</v>
      </c>
      <c r="E61" s="1296">
        <v>699</v>
      </c>
      <c r="F61" s="1296">
        <v>11545121.3094646</v>
      </c>
    </row>
    <row r="62" spans="1:6">
      <c r="A62" s="1295" t="s">
        <v>48</v>
      </c>
      <c r="B62" s="1295" t="s">
        <v>54</v>
      </c>
      <c r="C62" s="1296">
        <v>15</v>
      </c>
      <c r="D62" s="1296">
        <v>2530337.5439427299</v>
      </c>
      <c r="E62" s="1296">
        <v>19</v>
      </c>
      <c r="F62" s="1296">
        <v>661940.78793160804</v>
      </c>
    </row>
    <row r="63" spans="1:6">
      <c r="A63" s="1295" t="s">
        <v>48</v>
      </c>
      <c r="B63" s="1295" t="s">
        <v>28</v>
      </c>
      <c r="C63" s="1296">
        <v>279</v>
      </c>
      <c r="D63" s="1296">
        <v>25379981.633020502</v>
      </c>
      <c r="E63" s="1296">
        <v>333</v>
      </c>
      <c r="F63" s="1296">
        <v>22786153.020354401</v>
      </c>
    </row>
    <row r="64" spans="1:6">
      <c r="A64" s="1295" t="s">
        <v>55</v>
      </c>
      <c r="B64" s="1295" t="s">
        <v>56</v>
      </c>
      <c r="C64" s="1296">
        <v>0</v>
      </c>
      <c r="D64" s="1296">
        <v>0</v>
      </c>
      <c r="E64" s="1296">
        <v>0</v>
      </c>
      <c r="F64" s="1296">
        <v>0</v>
      </c>
    </row>
    <row r="65" spans="1:6">
      <c r="A65" s="1295" t="s">
        <v>55</v>
      </c>
      <c r="B65" s="1295" t="s">
        <v>28</v>
      </c>
      <c r="C65" s="1296">
        <v>9</v>
      </c>
      <c r="D65" s="1296">
        <v>719225.92758488294</v>
      </c>
      <c r="E65" s="1296">
        <v>6</v>
      </c>
      <c r="F65" s="1296">
        <v>39599.2307233416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141118.64261158701</v>
      </c>
      <c r="E68" s="1299">
        <v>29</v>
      </c>
      <c r="F68" s="1299">
        <v>689595.644474086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128151736</v>
      </c>
      <c r="E73" s="447"/>
      <c r="F73" s="327"/>
    </row>
    <row r="74" spans="1:6">
      <c r="A74" s="1295" t="s">
        <v>63</v>
      </c>
      <c r="B74" s="1295" t="s">
        <v>755</v>
      </c>
      <c r="C74" s="1309" t="s">
        <v>749</v>
      </c>
      <c r="D74" s="1310">
        <v>3391718.5887987176</v>
      </c>
      <c r="E74" s="447"/>
      <c r="F74" s="327"/>
    </row>
    <row r="75" spans="1:6">
      <c r="A75" s="1295" t="s">
        <v>64</v>
      </c>
      <c r="B75" s="1295" t="s">
        <v>754</v>
      </c>
      <c r="C75" s="1309" t="s">
        <v>750</v>
      </c>
      <c r="D75" s="1310">
        <v>127171585</v>
      </c>
      <c r="E75" s="447"/>
      <c r="F75" s="327"/>
    </row>
    <row r="76" spans="1:6">
      <c r="A76" s="1295" t="s">
        <v>64</v>
      </c>
      <c r="B76" s="1295" t="s">
        <v>755</v>
      </c>
      <c r="C76" s="1309" t="s">
        <v>751</v>
      </c>
      <c r="D76" s="1310">
        <v>1898891.5887987176</v>
      </c>
      <c r="E76" s="447"/>
      <c r="F76" s="327"/>
    </row>
    <row r="77" spans="1:6">
      <c r="A77" s="1295" t="s">
        <v>65</v>
      </c>
      <c r="B77" s="1295" t="s">
        <v>754</v>
      </c>
      <c r="C77" s="1309" t="s">
        <v>752</v>
      </c>
      <c r="D77" s="1310">
        <v>454198111</v>
      </c>
      <c r="E77" s="447"/>
      <c r="F77" s="327"/>
    </row>
    <row r="78" spans="1:6">
      <c r="A78" s="1290" t="s">
        <v>65</v>
      </c>
      <c r="B78" s="1290" t="s">
        <v>755</v>
      </c>
      <c r="C78" s="1290" t="s">
        <v>753</v>
      </c>
      <c r="D78" s="1311">
        <v>43058607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2141002.8224025648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3358.7910227761522</v>
      </c>
      <c r="C91" s="327"/>
      <c r="D91" s="327"/>
      <c r="E91" s="327"/>
      <c r="F91" s="327"/>
    </row>
    <row r="92" spans="1:6">
      <c r="A92" s="1290" t="s">
        <v>68</v>
      </c>
      <c r="B92" s="1291">
        <v>1095.1928806307244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7949</v>
      </c>
      <c r="C97" s="327"/>
      <c r="D97" s="327"/>
      <c r="E97" s="327"/>
      <c r="F97" s="327"/>
    </row>
    <row r="98" spans="1:6">
      <c r="A98" s="1295" t="s">
        <v>71</v>
      </c>
      <c r="B98" s="1296">
        <v>7</v>
      </c>
      <c r="C98" s="327"/>
      <c r="D98" s="327"/>
      <c r="E98" s="327"/>
      <c r="F98" s="327"/>
    </row>
    <row r="99" spans="1:6">
      <c r="A99" s="1295" t="s">
        <v>72</v>
      </c>
      <c r="B99" s="1296">
        <v>122</v>
      </c>
      <c r="C99" s="327"/>
      <c r="D99" s="327"/>
      <c r="E99" s="327"/>
      <c r="F99" s="327"/>
    </row>
    <row r="100" spans="1:6">
      <c r="A100" s="1295" t="s">
        <v>73</v>
      </c>
      <c r="B100" s="1296">
        <v>1160</v>
      </c>
      <c r="C100" s="327"/>
      <c r="D100" s="327"/>
      <c r="E100" s="327"/>
      <c r="F100" s="327"/>
    </row>
    <row r="101" spans="1:6">
      <c r="A101" s="1295" t="s">
        <v>74</v>
      </c>
      <c r="B101" s="1296">
        <v>75</v>
      </c>
      <c r="C101" s="327"/>
      <c r="D101" s="327"/>
      <c r="E101" s="327"/>
      <c r="F101" s="327"/>
    </row>
    <row r="102" spans="1:6">
      <c r="A102" s="1295" t="s">
        <v>75</v>
      </c>
      <c r="B102" s="1296">
        <v>251</v>
      </c>
      <c r="C102" s="327"/>
      <c r="D102" s="327"/>
      <c r="E102" s="327"/>
      <c r="F102" s="327"/>
    </row>
    <row r="103" spans="1:6">
      <c r="A103" s="1295" t="s">
        <v>76</v>
      </c>
      <c r="B103" s="1296">
        <v>198</v>
      </c>
      <c r="C103" s="327"/>
      <c r="D103" s="327"/>
      <c r="E103" s="327"/>
      <c r="F103" s="327"/>
    </row>
    <row r="104" spans="1:6">
      <c r="A104" s="1295" t="s">
        <v>77</v>
      </c>
      <c r="B104" s="1296">
        <v>5082</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25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96</v>
      </c>
      <c r="C129" s="327"/>
      <c r="D129" s="327"/>
      <c r="E129" s="327"/>
      <c r="F129" s="327"/>
    </row>
    <row r="130" spans="1:6">
      <c r="A130" s="1295" t="s">
        <v>290</v>
      </c>
      <c r="B130" s="1296">
        <v>0</v>
      </c>
      <c r="C130" s="327"/>
      <c r="D130" s="327"/>
      <c r="E130" s="327"/>
      <c r="F130" s="327"/>
    </row>
    <row r="131" spans="1:6">
      <c r="A131" s="1295" t="s">
        <v>291</v>
      </c>
      <c r="B131" s="1296">
        <v>3</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168454.05650824468</v>
      </c>
      <c r="C3" s="44" t="s">
        <v>169</v>
      </c>
      <c r="D3" s="44"/>
      <c r="E3" s="157"/>
      <c r="F3" s="44"/>
      <c r="G3" s="44"/>
      <c r="H3" s="44"/>
      <c r="I3" s="44"/>
      <c r="J3" s="44"/>
      <c r="K3" s="97"/>
    </row>
    <row r="4" spans="1:11">
      <c r="A4" s="354" t="s">
        <v>170</v>
      </c>
      <c r="B4" s="50">
        <f>IF(ISERROR('SEAP template'!B78+'SEAP template'!C78),0,'SEAP template'!B78+'SEAP template'!C78)</f>
        <v>4453.9839034068764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0.21515668305616167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2022.596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2022.596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0.21515668305616167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435.17504652266035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68616.740598598903</v>
      </c>
      <c r="C5" s="18">
        <f>IF(ISERROR('Eigen informatie GS &amp; warmtenet'!B57),0,'Eigen informatie GS &amp; warmtenet'!B57)</f>
        <v>0</v>
      </c>
      <c r="D5" s="31">
        <f>(SUM(HH_hh_gas_kWh,HH_rest_gas_kWh)/1000)*0.902</f>
        <v>198670.01795505642</v>
      </c>
      <c r="E5" s="18">
        <f>B32*B41</f>
        <v>3134.4069874772658</v>
      </c>
      <c r="F5" s="18">
        <f>B36*B45</f>
        <v>95558.968937346392</v>
      </c>
      <c r="G5" s="19"/>
      <c r="H5" s="18"/>
      <c r="I5" s="18"/>
      <c r="J5" s="18">
        <f>B35*B44+C35*C44</f>
        <v>1733.884194243527</v>
      </c>
      <c r="K5" s="18"/>
      <c r="L5" s="18"/>
      <c r="M5" s="18"/>
      <c r="N5" s="18">
        <f>B34*B43+C34*C43</f>
        <v>23352.8966618003</v>
      </c>
      <c r="O5" s="18">
        <f>B52*B53*B54</f>
        <v>189.16333333333336</v>
      </c>
      <c r="P5" s="18">
        <f>B60*B61*B62/1000-B60*B61*B62/1000/B63</f>
        <v>457.6</v>
      </c>
    </row>
    <row r="6" spans="1:16">
      <c r="A6" s="17" t="s">
        <v>628</v>
      </c>
      <c r="B6" s="768">
        <f>kWh_PV_kleiner_dan_10kW</f>
        <v>3358.7910227761522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71975.531621375048</v>
      </c>
      <c r="C8" s="22">
        <f>C5</f>
        <v>0</v>
      </c>
      <c r="D8" s="22">
        <f>D5</f>
        <v>198670.01795505642</v>
      </c>
      <c r="E8" s="22">
        <f>E5</f>
        <v>3134.4069874772658</v>
      </c>
      <c r="F8" s="22">
        <f>F5</f>
        <v>95558.968937346392</v>
      </c>
      <c r="G8" s="22"/>
      <c r="H8" s="22"/>
      <c r="I8" s="22"/>
      <c r="J8" s="22">
        <f>J5</f>
        <v>1733.884194243527</v>
      </c>
      <c r="K8" s="22"/>
      <c r="L8" s="22">
        <f>L5</f>
        <v>0</v>
      </c>
      <c r="M8" s="22">
        <f>M5</f>
        <v>0</v>
      </c>
      <c r="N8" s="22">
        <f>N5</f>
        <v>23352.8966618003</v>
      </c>
      <c r="O8" s="22">
        <f>O5</f>
        <v>189.16333333333336</v>
      </c>
      <c r="P8" s="22">
        <f>P5</f>
        <v>457.6</v>
      </c>
    </row>
    <row r="9" spans="1:16">
      <c r="B9" s="20"/>
      <c r="C9" s="20"/>
      <c r="D9" s="258"/>
      <c r="E9" s="20"/>
      <c r="F9" s="20"/>
      <c r="G9" s="20"/>
      <c r="H9" s="20"/>
      <c r="I9" s="20"/>
      <c r="J9" s="20"/>
      <c r="K9" s="20"/>
      <c r="L9" s="20"/>
      <c r="M9" s="20"/>
      <c r="N9" s="20"/>
      <c r="O9" s="20"/>
      <c r="P9" s="20"/>
    </row>
    <row r="10" spans="1:16">
      <c r="A10" s="25" t="s">
        <v>213</v>
      </c>
      <c r="B10" s="26">
        <f ca="1">'EF ele_warmte'!B12</f>
        <v>0.21515668305616167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15486.016644858933</v>
      </c>
      <c r="C12" s="24">
        <f ca="1">C10*C8</f>
        <v>0</v>
      </c>
      <c r="D12" s="24">
        <f>D8*D10</f>
        <v>40131.3436269214</v>
      </c>
      <c r="E12" s="24">
        <f>E10*E8</f>
        <v>711.51038615733933</v>
      </c>
      <c r="F12" s="24">
        <f>F10*F8</f>
        <v>25514.244706271489</v>
      </c>
      <c r="G12" s="24"/>
      <c r="H12" s="24"/>
      <c r="I12" s="24"/>
      <c r="J12" s="24">
        <f>J10*J8</f>
        <v>613.79500476220846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16468</v>
      </c>
      <c r="C26" s="37"/>
      <c r="D26" s="228"/>
    </row>
    <row r="27" spans="1:5" s="16" customFormat="1">
      <c r="A27" s="230" t="s">
        <v>654</v>
      </c>
      <c r="B27" s="38">
        <f>SUM(HH_hh_gas_aantal,HH_rest_gas_aantal)</f>
        <v>10966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10417.700000000001</v>
      </c>
      <c r="C31" s="35" t="s">
        <v>110</v>
      </c>
      <c r="D31" s="174"/>
    </row>
    <row r="32" spans="1:5">
      <c r="A32" s="171" t="s">
        <v>72</v>
      </c>
      <c r="B32" s="34">
        <f>IF((B21*($B$26-($B$27-0.05*$B$27)-$B$60))&lt;0,0,B21*($B$26-($B$27-0.05*$B$27)-$B$60))</f>
        <v>148.09831460416058</v>
      </c>
      <c r="C32" s="35" t="s">
        <v>110</v>
      </c>
      <c r="D32" s="174"/>
    </row>
    <row r="33" spans="1:6">
      <c r="A33" s="171" t="s">
        <v>73</v>
      </c>
      <c r="B33" s="34">
        <f>IF((B22*($B$26-($B$27-0.05*$B$27)-$B$60))&lt;0,0,B22*($B$26-($B$27-0.05*$B$27)-$B$60))</f>
        <v>996.87535284016622</v>
      </c>
      <c r="C33" s="35" t="s">
        <v>110</v>
      </c>
      <c r="D33" s="174"/>
    </row>
    <row r="34" spans="1:6">
      <c r="A34" s="171" t="s">
        <v>74</v>
      </c>
      <c r="B34" s="34">
        <f>IF((B24*($B$26-($B$27-0.05*$B$27)-$B$60))&lt;0,0,B24*($B$26-($B$27-0.05*$B$27)-$B$60))</f>
        <v>252.82860170877782</v>
      </c>
      <c r="C34" s="34">
        <f>B26*C24</f>
        <v>3367.744332054282</v>
      </c>
      <c r="D34" s="233"/>
    </row>
    <row r="35" spans="1:6">
      <c r="A35" s="171" t="s">
        <v>76</v>
      </c>
      <c r="B35" s="34">
        <f>IF((B19*($B$26-($B$27-0.05*$B$27)-$B$60))&lt;0,0,B19*($B$26-($B$27-0.05*$B$27)-$B$60))</f>
        <v>93.993673126858724</v>
      </c>
      <c r="C35" s="34">
        <f>B35/2</f>
        <v>46.996836563429362</v>
      </c>
      <c r="D35" s="233"/>
    </row>
    <row r="36" spans="1:6">
      <c r="A36" s="171" t="s">
        <v>77</v>
      </c>
      <c r="B36" s="34">
        <f>IF((B18*($B$26-($B$27-0.05*$B$27)-$B$60))&lt;0,0,B18*($B$26-($B$27-0.05*$B$27)-$B$60))</f>
        <v>4534.5040577200343</v>
      </c>
      <c r="C36" s="35" t="s">
        <v>110</v>
      </c>
      <c r="D36" s="174"/>
    </row>
    <row r="37" spans="1:6">
      <c r="A37" s="171" t="s">
        <v>78</v>
      </c>
      <c r="B37" s="34">
        <f>B60</f>
        <v>24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57899.937535920268</v>
      </c>
      <c r="C5" s="18">
        <f>IF(ISERROR('Eigen informatie GS &amp; warmtenet'!B58),0,'Eigen informatie GS &amp; warmtenet'!B58)</f>
        <v>0</v>
      </c>
      <c r="D5" s="31">
        <f>SUM(D6:D12)</f>
        <v>67697.989557373163</v>
      </c>
      <c r="E5" s="18">
        <f>SUM(E6:E12)</f>
        <v>638.52388025779624</v>
      </c>
      <c r="F5" s="18">
        <f>SUM(F6:F12)</f>
        <v>11467.920559746039</v>
      </c>
      <c r="G5" s="19"/>
      <c r="H5" s="18"/>
      <c r="I5" s="18"/>
      <c r="J5" s="18">
        <f>SUM(J6:J12)</f>
        <v>0</v>
      </c>
      <c r="K5" s="18"/>
      <c r="L5" s="18"/>
      <c r="M5" s="18"/>
      <c r="N5" s="18">
        <f>SUM(N6:N12)</f>
        <v>2826.2246185126141</v>
      </c>
      <c r="O5" s="18">
        <f>B38*B39*B40</f>
        <v>0</v>
      </c>
      <c r="P5" s="18">
        <f>B46*B47*B48/1000-B46*B47*B48/1000/B49</f>
        <v>57.2</v>
      </c>
      <c r="R5" s="33"/>
    </row>
    <row r="6" spans="1:18">
      <c r="A6" s="33" t="s">
        <v>53</v>
      </c>
      <c r="B6" s="38">
        <f>B26</f>
        <v>11545.121309464599</v>
      </c>
      <c r="C6" s="34"/>
      <c r="D6" s="38">
        <f>IF(ISERROR(TER_kantoor_gas_kWh/1000),0,TER_kantoor_gas_kWh/1000)*0.902</f>
        <v>24483.399260047325</v>
      </c>
      <c r="E6" s="34">
        <f>$C$26*'E Balans VL '!I12/100/3.6*1000000</f>
        <v>18.947883986094375</v>
      </c>
      <c r="F6" s="34">
        <f>$C$26*('E Balans VL '!L12+'E Balans VL '!N12)/100/3.6*1000000</f>
        <v>1360.8981604328571</v>
      </c>
      <c r="G6" s="35"/>
      <c r="H6" s="34"/>
      <c r="I6" s="34"/>
      <c r="J6" s="34">
        <f>$C$26*('E Balans VL '!D12+'E Balans VL '!E12)/100/3.6*1000000</f>
        <v>0</v>
      </c>
      <c r="K6" s="34"/>
      <c r="L6" s="34"/>
      <c r="M6" s="34"/>
      <c r="N6" s="34">
        <f>$C$26*'E Balans VL '!Y12/100/3.6*1000000</f>
        <v>2.3326370899521804</v>
      </c>
      <c r="O6" s="34"/>
      <c r="P6" s="34"/>
      <c r="R6" s="33"/>
    </row>
    <row r="7" spans="1:18">
      <c r="A7" s="33" t="s">
        <v>52</v>
      </c>
      <c r="B7" s="38">
        <f t="shared" ref="B7:B12" si="0">B27</f>
        <v>6491.3498746298101</v>
      </c>
      <c r="C7" s="34"/>
      <c r="D7" s="38">
        <f>IF(ISERROR(TER_horeca_gas_kWh/1000),0,TER_horeca_gas_kWh/1000)*0.902</f>
        <v>6067.1074453654601</v>
      </c>
      <c r="E7" s="34">
        <f>$C$27*'E Balans VL '!I9/100/3.6*1000000</f>
        <v>336.85408608042212</v>
      </c>
      <c r="F7" s="34">
        <f>$C$27*('E Balans VL '!L9+'E Balans VL '!N9)/100/3.6*1000000</f>
        <v>1481.3307515373363</v>
      </c>
      <c r="G7" s="35"/>
      <c r="H7" s="34"/>
      <c r="I7" s="34"/>
      <c r="J7" s="34">
        <f>$C$27*('E Balans VL '!D9+'E Balans VL '!E9)/100/3.6*1000000</f>
        <v>0</v>
      </c>
      <c r="K7" s="34"/>
      <c r="L7" s="34"/>
      <c r="M7" s="34"/>
      <c r="N7" s="34">
        <f>$C$27*'E Balans VL '!Y9/100/3.6*1000000</f>
        <v>0.68548357197004561</v>
      </c>
      <c r="O7" s="34"/>
      <c r="P7" s="34"/>
      <c r="R7" s="33"/>
    </row>
    <row r="8" spans="1:18">
      <c r="A8" s="6" t="s">
        <v>51</v>
      </c>
      <c r="B8" s="38">
        <f t="shared" si="0"/>
        <v>12212.0768323252</v>
      </c>
      <c r="C8" s="34"/>
      <c r="D8" s="38">
        <f>IF(ISERROR(TER_handel_gas_kWh/1000),0,TER_handel_gas_kWh/1000)*0.902</f>
        <v>8517.583547321794</v>
      </c>
      <c r="E8" s="34">
        <f>$C$28*'E Balans VL '!I13/100/3.6*1000000</f>
        <v>65.763534406859421</v>
      </c>
      <c r="F8" s="34">
        <f>$C$28*('E Balans VL '!L13+'E Balans VL '!N13)/100/3.6*1000000</f>
        <v>2490.4053763484144</v>
      </c>
      <c r="G8" s="35"/>
      <c r="H8" s="34"/>
      <c r="I8" s="34"/>
      <c r="J8" s="34">
        <f>$C$28*('E Balans VL '!D13+'E Balans VL '!E13)/100/3.6*1000000</f>
        <v>0</v>
      </c>
      <c r="K8" s="34"/>
      <c r="L8" s="34"/>
      <c r="M8" s="34"/>
      <c r="N8" s="34">
        <f>$C$28*'E Balans VL '!Y13/100/3.6*1000000</f>
        <v>60.724209074146032</v>
      </c>
      <c r="O8" s="34"/>
      <c r="P8" s="34"/>
      <c r="R8" s="33"/>
    </row>
    <row r="9" spans="1:18">
      <c r="A9" s="33" t="s">
        <v>50</v>
      </c>
      <c r="B9" s="38">
        <f t="shared" si="0"/>
        <v>2046.8603608318399</v>
      </c>
      <c r="C9" s="34"/>
      <c r="D9" s="38">
        <f>IF(ISERROR(TER_gezond_gas_kWh/1000),0,TER_gezond_gas_kWh/1000)*0.902</f>
        <v>1771.5067876643584</v>
      </c>
      <c r="E9" s="34">
        <f>$C$29*'E Balans VL '!I10/100/3.6*1000000</f>
        <v>2.0284618943840429</v>
      </c>
      <c r="F9" s="34">
        <f>$C$29*('E Balans VL '!L10+'E Balans VL '!N10)/100/3.6*1000000</f>
        <v>710.20154672218644</v>
      </c>
      <c r="G9" s="35"/>
      <c r="H9" s="34"/>
      <c r="I9" s="34"/>
      <c r="J9" s="34">
        <f>$C$29*('E Balans VL '!D10+'E Balans VL '!E10)/100/3.6*1000000</f>
        <v>0</v>
      </c>
      <c r="K9" s="34"/>
      <c r="L9" s="34"/>
      <c r="M9" s="34"/>
      <c r="N9" s="34">
        <f>$C$29*'E Balans VL '!Y10/100/3.6*1000000</f>
        <v>17.637618410625024</v>
      </c>
      <c r="O9" s="34"/>
      <c r="P9" s="34"/>
      <c r="R9" s="33"/>
    </row>
    <row r="10" spans="1:18">
      <c r="A10" s="33" t="s">
        <v>49</v>
      </c>
      <c r="B10" s="38">
        <f t="shared" si="0"/>
        <v>2156.4353503828102</v>
      </c>
      <c r="C10" s="34"/>
      <c r="D10" s="38">
        <f>IF(ISERROR(TER_ander_gas_kWh/1000),0,TER_ander_gas_kWh/1000)*0.902</f>
        <v>1683.284619353378</v>
      </c>
      <c r="E10" s="34">
        <f>$C$30*'E Balans VL '!I14/100/3.6*1000000</f>
        <v>17.641796369775154</v>
      </c>
      <c r="F10" s="34">
        <f>$C$30*('E Balans VL '!L14+'E Balans VL '!N14)/100/3.6*1000000</f>
        <v>630.45390433277737</v>
      </c>
      <c r="G10" s="35"/>
      <c r="H10" s="34"/>
      <c r="I10" s="34"/>
      <c r="J10" s="34">
        <f>$C$30*('E Balans VL '!D14+'E Balans VL '!E14)/100/3.6*1000000</f>
        <v>0</v>
      </c>
      <c r="K10" s="34"/>
      <c r="L10" s="34"/>
      <c r="M10" s="34"/>
      <c r="N10" s="34">
        <f>$C$30*'E Balans VL '!Y14/100/3.6*1000000</f>
        <v>1243.9802489453623</v>
      </c>
      <c r="O10" s="34"/>
      <c r="P10" s="34"/>
      <c r="R10" s="33"/>
    </row>
    <row r="11" spans="1:18">
      <c r="A11" s="33" t="s">
        <v>54</v>
      </c>
      <c r="B11" s="38">
        <f t="shared" si="0"/>
        <v>661.94078793160804</v>
      </c>
      <c r="C11" s="34"/>
      <c r="D11" s="38">
        <f>IF(ISERROR(TER_onderwijs_gas_kWh/1000),0,TER_onderwijs_gas_kWh/1000)*0.902</f>
        <v>2282.3644646363427</v>
      </c>
      <c r="E11" s="34">
        <f>$C$31*'E Balans VL '!I11/100/3.6*1000000</f>
        <v>0.40799237162625379</v>
      </c>
      <c r="F11" s="34">
        <f>$C$31*('E Balans VL '!L11+'E Balans VL '!N11)/100/3.6*1000000</f>
        <v>255.91702852652617</v>
      </c>
      <c r="G11" s="35"/>
      <c r="H11" s="34"/>
      <c r="I11" s="34"/>
      <c r="J11" s="34">
        <f>$C$31*('E Balans VL '!D11+'E Balans VL '!E11)/100/3.6*1000000</f>
        <v>0</v>
      </c>
      <c r="K11" s="34"/>
      <c r="L11" s="34"/>
      <c r="M11" s="34"/>
      <c r="N11" s="34">
        <f>$C$31*'E Balans VL '!Y11/100/3.6*1000000</f>
        <v>2.1531515322593884</v>
      </c>
      <c r="O11" s="34"/>
      <c r="P11" s="34"/>
      <c r="R11" s="33"/>
    </row>
    <row r="12" spans="1:18">
      <c r="A12" s="33" t="s">
        <v>255</v>
      </c>
      <c r="B12" s="38">
        <f t="shared" si="0"/>
        <v>22786.153020354403</v>
      </c>
      <c r="C12" s="34"/>
      <c r="D12" s="38">
        <f>IF(ISERROR(TER_rest_gas_kWh/1000),0,TER_rest_gas_kWh/1000)*0.902</f>
        <v>22892.743432984495</v>
      </c>
      <c r="E12" s="34">
        <f>$C$32*'E Balans VL '!I8/100/3.6*1000000</f>
        <v>196.88012514863482</v>
      </c>
      <c r="F12" s="34">
        <f>$C$32*('E Balans VL '!L8+'E Balans VL '!N8)/100/3.6*1000000</f>
        <v>4538.7137918459412</v>
      </c>
      <c r="G12" s="35"/>
      <c r="H12" s="34"/>
      <c r="I12" s="34"/>
      <c r="J12" s="34">
        <f>$C$32*('E Balans VL '!D8+'E Balans VL '!E8)/100/3.6*1000000</f>
        <v>0</v>
      </c>
      <c r="K12" s="34"/>
      <c r="L12" s="34"/>
      <c r="M12" s="34"/>
      <c r="N12" s="34">
        <f>$C$32*'E Balans VL '!Y8/100/3.6*1000000</f>
        <v>1498.7112698882988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57899.937535920268</v>
      </c>
      <c r="C16" s="22">
        <f t="shared" ca="1" si="1"/>
        <v>0</v>
      </c>
      <c r="D16" s="22">
        <f t="shared" ca="1" si="1"/>
        <v>67697.989557373163</v>
      </c>
      <c r="E16" s="22">
        <f t="shared" si="1"/>
        <v>638.52388025779624</v>
      </c>
      <c r="F16" s="22">
        <f t="shared" ca="1" si="1"/>
        <v>11467.920559746039</v>
      </c>
      <c r="G16" s="22">
        <f t="shared" si="1"/>
        <v>0</v>
      </c>
      <c r="H16" s="22">
        <f t="shared" si="1"/>
        <v>0</v>
      </c>
      <c r="I16" s="22">
        <f t="shared" si="1"/>
        <v>0</v>
      </c>
      <c r="J16" s="22">
        <f t="shared" si="1"/>
        <v>0</v>
      </c>
      <c r="K16" s="22">
        <f t="shared" si="1"/>
        <v>0</v>
      </c>
      <c r="L16" s="22">
        <f t="shared" ca="1" si="1"/>
        <v>0</v>
      </c>
      <c r="M16" s="22">
        <f t="shared" si="1"/>
        <v>0</v>
      </c>
      <c r="N16" s="22">
        <f t="shared" ca="1" si="1"/>
        <v>2826.2246185126141</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0.21515668305616167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12457.558509387556</v>
      </c>
      <c r="C20" s="24">
        <f t="shared" ref="C20:P20" ca="1" si="2">C16*C18</f>
        <v>0</v>
      </c>
      <c r="D20" s="24">
        <f t="shared" ca="1" si="2"/>
        <v>13674.99389058938</v>
      </c>
      <c r="E20" s="24">
        <f t="shared" si="2"/>
        <v>144.94492081851976</v>
      </c>
      <c r="F20" s="24">
        <f t="shared" ca="1" si="2"/>
        <v>3061.9347894521925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11545.121309464599</v>
      </c>
      <c r="C26" s="40">
        <f>IF(ISERROR(B26*3.6/1000000/'E Balans VL '!Z12*100),0,B26*3.6/1000000/'E Balans VL '!Z12*100)</f>
        <v>0.24532554846122845</v>
      </c>
      <c r="D26" s="236" t="s">
        <v>691</v>
      </c>
      <c r="F26" s="6"/>
    </row>
    <row r="27" spans="1:18">
      <c r="A27" s="231" t="s">
        <v>52</v>
      </c>
      <c r="B27" s="34">
        <f>IF(ISERROR(TER_horeca_ele_kWh/1000),0,TER_horeca_ele_kWh/1000)</f>
        <v>6491.3498746298101</v>
      </c>
      <c r="C27" s="40">
        <f>IF(ISERROR(B27*3.6/1000000/'E Balans VL '!Z9*100),0,B27*3.6/1000000/'E Balans VL '!Z9*100)</f>
        <v>0.51091943252425764</v>
      </c>
      <c r="D27" s="236" t="s">
        <v>691</v>
      </c>
      <c r="F27" s="6"/>
    </row>
    <row r="28" spans="1:18">
      <c r="A28" s="171" t="s">
        <v>51</v>
      </c>
      <c r="B28" s="34">
        <f>IF(ISERROR(TER_handel_ele_kWh/1000),0,TER_handel_ele_kWh/1000)</f>
        <v>12212.0768323252</v>
      </c>
      <c r="C28" s="40">
        <f>IF(ISERROR(B28*3.6/1000000/'E Balans VL '!Z13*100),0,B28*3.6/1000000/'E Balans VL '!Z13*100)</f>
        <v>0.34206680771892412</v>
      </c>
      <c r="D28" s="236" t="s">
        <v>691</v>
      </c>
      <c r="F28" s="6"/>
    </row>
    <row r="29" spans="1:18">
      <c r="A29" s="231" t="s">
        <v>50</v>
      </c>
      <c r="B29" s="34">
        <f>IF(ISERROR(TER_gezond_ele_kWh/1000),0,TER_gezond_ele_kWh/1000)</f>
        <v>2046.8603608318399</v>
      </c>
      <c r="C29" s="40">
        <f>IF(ISERROR(B29*3.6/1000000/'E Balans VL '!Z10*100),0,B29*3.6/1000000/'E Balans VL '!Z10*100)</f>
        <v>0.26185533471493794</v>
      </c>
      <c r="D29" s="236" t="s">
        <v>691</v>
      </c>
      <c r="F29" s="6"/>
    </row>
    <row r="30" spans="1:18">
      <c r="A30" s="231" t="s">
        <v>49</v>
      </c>
      <c r="B30" s="34">
        <f>IF(ISERROR(TER_ander_ele_kWh/1000),0,TER_ander_ele_kWh/1000)</f>
        <v>2156.4353503828102</v>
      </c>
      <c r="C30" s="40">
        <f>IF(ISERROR(B30*3.6/1000000/'E Balans VL '!Z14*100),0,B30*3.6/1000000/'E Balans VL '!Z14*100)</f>
        <v>0.16128319376695424</v>
      </c>
      <c r="D30" s="236" t="s">
        <v>691</v>
      </c>
      <c r="F30" s="6"/>
    </row>
    <row r="31" spans="1:18">
      <c r="A31" s="231" t="s">
        <v>54</v>
      </c>
      <c r="B31" s="34">
        <f>IF(ISERROR(TER_onderwijs_ele_kWh/1000),0,TER_onderwijs_ele_kWh/1000)</f>
        <v>661.94078793160804</v>
      </c>
      <c r="C31" s="40">
        <f>IF(ISERROR(B31*3.6/1000000/'E Balans VL '!Z11*100),0,B31*3.6/1000000/'E Balans VL '!Z11*100)</f>
        <v>0.13976965480424461</v>
      </c>
      <c r="D31" s="236" t="s">
        <v>691</v>
      </c>
    </row>
    <row r="32" spans="1:18">
      <c r="A32" s="231" t="s">
        <v>255</v>
      </c>
      <c r="B32" s="34">
        <f>IF(ISERROR(TER_rest_ele_kWh/1000),0,TER_rest_ele_kWh/1000)</f>
        <v>22786.153020354403</v>
      </c>
      <c r="C32" s="40">
        <f>IF(ISERROR(B32*3.6/1000000/'E Balans VL '!Z8*100),0,B32*3.6/1000000/'E Balans VL '!Z8*100)</f>
        <v>0.18771078061439242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32278.960537196683</v>
      </c>
      <c r="C5" s="18">
        <f>IF(ISERROR('Eigen informatie GS &amp; warmtenet'!B59),0,'Eigen informatie GS &amp; warmtenet'!B59)</f>
        <v>0</v>
      </c>
      <c r="D5" s="31">
        <f>SUM(D6:D15)</f>
        <v>57277.84018998831</v>
      </c>
      <c r="E5" s="18">
        <f>SUM(E6:E15)</f>
        <v>282.64447026444645</v>
      </c>
      <c r="F5" s="18">
        <f>SUM(F6:F15)</f>
        <v>8062.335708406601</v>
      </c>
      <c r="G5" s="19"/>
      <c r="H5" s="18"/>
      <c r="I5" s="18"/>
      <c r="J5" s="18">
        <f>SUM(J6:J15)</f>
        <v>141.07986045751133</v>
      </c>
      <c r="K5" s="18"/>
      <c r="L5" s="18"/>
      <c r="M5" s="18"/>
      <c r="N5" s="18">
        <f>SUM(N6:N15)</f>
        <v>1119.6154305968353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158.828595466</v>
      </c>
      <c r="C8" s="34"/>
      <c r="D8" s="38">
        <f>IF( ISERROR(IND_metaal_Gas_kWH/1000),0,IND_metaal_Gas_kWH/1000)*0.902</f>
        <v>0</v>
      </c>
      <c r="E8" s="34">
        <f>C30*'E Balans VL '!I18/100/3.6*1000000</f>
        <v>1.4464233960337216</v>
      </c>
      <c r="F8" s="34">
        <f>C30*'E Balans VL '!L18/100/3.6*1000000+C30*'E Balans VL '!N18/100/3.6*1000000</f>
        <v>20.948285576894897</v>
      </c>
      <c r="G8" s="35"/>
      <c r="H8" s="34"/>
      <c r="I8" s="34"/>
      <c r="J8" s="41">
        <f>C30*'E Balans VL '!D18/100/3.6*1000000+C30*'E Balans VL '!E18/100/3.6*1000000</f>
        <v>2.60455835482583</v>
      </c>
      <c r="K8" s="34"/>
      <c r="L8" s="34"/>
      <c r="M8" s="34"/>
      <c r="N8" s="34">
        <f>C30*'E Balans VL '!Y18/100/3.6*1000000</f>
        <v>0.54583078811894259</v>
      </c>
      <c r="O8" s="34"/>
      <c r="P8" s="34"/>
      <c r="R8" s="33"/>
    </row>
    <row r="9" spans="1:18">
      <c r="A9" s="6" t="s">
        <v>32</v>
      </c>
      <c r="B9" s="38">
        <f t="shared" si="0"/>
        <v>3087.4112723200296</v>
      </c>
      <c r="C9" s="34"/>
      <c r="D9" s="38">
        <f>IF( ISERROR(IND_andere_gas_kWh/1000),0,IND_andere_gas_kWh/1000)*0.902</f>
        <v>2431.1972097080511</v>
      </c>
      <c r="E9" s="34">
        <f>C31*'E Balans VL '!I19/100/3.6*1000000</f>
        <v>17.84569852946268</v>
      </c>
      <c r="F9" s="34">
        <f>C31*'E Balans VL '!L19/100/3.6*1000000+C31*'E Balans VL '!N19/100/3.6*1000000</f>
        <v>2456.1842274822579</v>
      </c>
      <c r="G9" s="35"/>
      <c r="H9" s="34"/>
      <c r="I9" s="34"/>
      <c r="J9" s="41">
        <f>C31*'E Balans VL '!D19/100/3.6*1000000+C31*'E Balans VL '!E19/100/3.6*1000000</f>
        <v>0.29203481236839796</v>
      </c>
      <c r="K9" s="34"/>
      <c r="L9" s="34"/>
      <c r="M9" s="34"/>
      <c r="N9" s="34">
        <f>C31*'E Balans VL '!Y19/100/3.6*1000000</f>
        <v>233.91812662163485</v>
      </c>
      <c r="O9" s="34"/>
      <c r="P9" s="34"/>
      <c r="R9" s="33"/>
    </row>
    <row r="10" spans="1:18">
      <c r="A10" s="6" t="s">
        <v>40</v>
      </c>
      <c r="B10" s="38">
        <f t="shared" si="0"/>
        <v>1486.2003790025299</v>
      </c>
      <c r="C10" s="34"/>
      <c r="D10" s="38">
        <f>IF( ISERROR(IND_voed_gas_kWh/1000),0,IND_voed_gas_kWh/1000)*0.902</f>
        <v>651.86975173029043</v>
      </c>
      <c r="E10" s="34">
        <f>C32*'E Balans VL '!I20/100/3.6*1000000</f>
        <v>14.613237850670316</v>
      </c>
      <c r="F10" s="34">
        <f>C32*'E Balans VL '!L20/100/3.6*1000000+C32*'E Balans VL '!N20/100/3.6*1000000</f>
        <v>165.06195093327267</v>
      </c>
      <c r="G10" s="35"/>
      <c r="H10" s="34"/>
      <c r="I10" s="34"/>
      <c r="J10" s="41">
        <f>C32*'E Balans VL '!D20/100/3.6*1000000+C32*'E Balans VL '!E20/100/3.6*1000000</f>
        <v>5.8577903880231222E-3</v>
      </c>
      <c r="K10" s="34"/>
      <c r="L10" s="34"/>
      <c r="M10" s="34"/>
      <c r="N10" s="34">
        <f>C32*'E Balans VL '!Y20/100/3.6*1000000</f>
        <v>22.007131701239935</v>
      </c>
      <c r="O10" s="34"/>
      <c r="P10" s="34"/>
      <c r="R10" s="33"/>
    </row>
    <row r="11" spans="1:18">
      <c r="A11" s="6" t="s">
        <v>39</v>
      </c>
      <c r="B11" s="38">
        <f t="shared" si="0"/>
        <v>16.169827944773601</v>
      </c>
      <c r="C11" s="34"/>
      <c r="D11" s="38">
        <f>IF( ISERROR(IND_textiel_gas_kWh/1000),0,IND_textiel_gas_kWh/1000)*0.902</f>
        <v>0</v>
      </c>
      <c r="E11" s="34">
        <f>C33*'E Balans VL '!I21/100/3.6*1000000</f>
        <v>3.1486409753222193E-2</v>
      </c>
      <c r="F11" s="34">
        <f>C33*'E Balans VL '!L21/100/3.6*1000000+C33*'E Balans VL '!N21/100/3.6*1000000</f>
        <v>0.53333398696695966</v>
      </c>
      <c r="G11" s="35"/>
      <c r="H11" s="34"/>
      <c r="I11" s="34"/>
      <c r="J11" s="41">
        <f>C33*'E Balans VL '!D21/100/3.6*1000000+C33*'E Balans VL '!E21/100/3.6*1000000</f>
        <v>0</v>
      </c>
      <c r="K11" s="34"/>
      <c r="L11" s="34"/>
      <c r="M11" s="34"/>
      <c r="N11" s="34">
        <f>C33*'E Balans VL '!Y21/100/3.6*1000000</f>
        <v>0.16772364530160624</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52.975592740150503</v>
      </c>
      <c r="C13" s="34"/>
      <c r="D13" s="38">
        <f>IF( ISERROR(IND_papier_gas_kWh/1000),0,IND_papier_gas_kWh/1000)*0.902</f>
        <v>178.94591152457096</v>
      </c>
      <c r="E13" s="34">
        <f>C35*'E Balans VL '!I23/100/3.6*1000000</f>
        <v>1.8044254983730637</v>
      </c>
      <c r="F13" s="34">
        <f>C35*'E Balans VL '!L23/100/3.6*1000000+C35*'E Balans VL '!N23/100/3.6*1000000</f>
        <v>8.7503246102742143</v>
      </c>
      <c r="G13" s="35"/>
      <c r="H13" s="34"/>
      <c r="I13" s="34"/>
      <c r="J13" s="41">
        <f>C35*'E Balans VL '!D23/100/3.6*1000000+C35*'E Balans VL '!E23/100/3.6*1000000</f>
        <v>0</v>
      </c>
      <c r="K13" s="34"/>
      <c r="L13" s="34"/>
      <c r="M13" s="34"/>
      <c r="N13" s="34">
        <f>C35*'E Balans VL '!Y23/100/3.6*1000000</f>
        <v>19.493597433110466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27477.3748697232</v>
      </c>
      <c r="C15" s="34"/>
      <c r="D15" s="38">
        <f>IF( ISERROR(IND_rest_gas_kWh/1000),0,IND_rest_gas_kWh/1000)*0.902</f>
        <v>54015.827317025396</v>
      </c>
      <c r="E15" s="34">
        <f>C37*'E Balans VL '!I15/100/3.6*1000000</f>
        <v>246.90319858015343</v>
      </c>
      <c r="F15" s="34">
        <f>C37*'E Balans VL '!L15/100/3.6*1000000+C37*'E Balans VL '!N15/100/3.6*1000000</f>
        <v>5410.8575858169343</v>
      </c>
      <c r="G15" s="35"/>
      <c r="H15" s="34"/>
      <c r="I15" s="34"/>
      <c r="J15" s="41">
        <f>C37*'E Balans VL '!D15/100/3.6*1000000+C37*'E Balans VL '!E15/100/3.6*1000000</f>
        <v>138.17740949992907</v>
      </c>
      <c r="K15" s="34"/>
      <c r="L15" s="34"/>
      <c r="M15" s="34"/>
      <c r="N15" s="34">
        <f>C37*'E Balans VL '!Y15/100/3.6*1000000</f>
        <v>843.48302040742954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32278.960537196683</v>
      </c>
      <c r="C18" s="22">
        <f>C5+C16</f>
        <v>0</v>
      </c>
      <c r="D18" s="22">
        <f>MAX((D5+D16),0)</f>
        <v>57277.84018998831</v>
      </c>
      <c r="E18" s="22">
        <f>MAX((E5+E16),0)</f>
        <v>282.64447026444645</v>
      </c>
      <c r="F18" s="22">
        <f>MAX((F5+F16),0)</f>
        <v>8062.335708406601</v>
      </c>
      <c r="G18" s="22"/>
      <c r="H18" s="22"/>
      <c r="I18" s="22"/>
      <c r="J18" s="22">
        <f>MAX((J5+J16),0)</f>
        <v>141.07986045751133</v>
      </c>
      <c r="K18" s="22"/>
      <c r="L18" s="22">
        <f>MAX((L5+L16),0)</f>
        <v>0</v>
      </c>
      <c r="M18" s="22"/>
      <c r="N18" s="22">
        <f>MAX((N5+N16),0)</f>
        <v>1119.6154305968353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0.21515668305616167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6945.0340816839771</v>
      </c>
      <c r="C22" s="24">
        <f ca="1">C18*C20</f>
        <v>0</v>
      </c>
      <c r="D22" s="24">
        <f>D18*D20</f>
        <v>11570.123718377639</v>
      </c>
      <c r="E22" s="24">
        <f>E18*E20</f>
        <v>64.160294750029351</v>
      </c>
      <c r="F22" s="24">
        <f>F18*F20</f>
        <v>2152.6436341445624</v>
      </c>
      <c r="G22" s="24"/>
      <c r="H22" s="24"/>
      <c r="I22" s="24"/>
      <c r="J22" s="24">
        <f>J18*J20</f>
        <v>49.942270601959009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158.828595466</v>
      </c>
      <c r="C30" s="40">
        <f>IF(ISERROR(B30*3.6/1000000/'E Balans VL '!Z18*100),0,B30*3.6/1000000/'E Balans VL '!Z18*100)</f>
        <v>8.8377492599773684E-3</v>
      </c>
      <c r="D30" s="236" t="s">
        <v>691</v>
      </c>
    </row>
    <row r="31" spans="1:18">
      <c r="A31" s="6" t="s">
        <v>32</v>
      </c>
      <c r="B31" s="38">
        <f>IF( ISERROR(IND_ander_ele_kWh/1000),0,IND_ander_ele_kWh/1000)</f>
        <v>3087.4112723200296</v>
      </c>
      <c r="C31" s="40">
        <f>IF(ISERROR(B31*3.6/1000000/'E Balans VL '!Z19*100),0,B31*3.6/1000000/'E Balans VL '!Z19*100)</f>
        <v>0.14352564157354714</v>
      </c>
      <c r="D31" s="236" t="s">
        <v>691</v>
      </c>
    </row>
    <row r="32" spans="1:18">
      <c r="A32" s="171" t="s">
        <v>40</v>
      </c>
      <c r="B32" s="38">
        <f>IF( ISERROR(IND_voed_ele_kWh/1000),0,IND_voed_ele_kWh/1000)</f>
        <v>1486.2003790025299</v>
      </c>
      <c r="C32" s="40">
        <f>IF(ISERROR(B32*3.6/1000000/'E Balans VL '!Z20*100),0,B32*3.6/1000000/'E Balans VL '!Z20*100)</f>
        <v>5.2534181888958822E-2</v>
      </c>
      <c r="D32" s="236" t="s">
        <v>691</v>
      </c>
    </row>
    <row r="33" spans="1:5">
      <c r="A33" s="171" t="s">
        <v>39</v>
      </c>
      <c r="B33" s="38">
        <f>IF( ISERROR(IND_textiel_ele_kWh/1000),0,IND_textiel_ele_kWh/1000)</f>
        <v>16.169827944773601</v>
      </c>
      <c r="C33" s="40">
        <f>IF(ISERROR(B33*3.6/1000000/'E Balans VL '!Z21*100),0,B33*3.6/1000000/'E Balans VL '!Z21*100)</f>
        <v>2.1839806238860724E-3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52.975592740150503</v>
      </c>
      <c r="C35" s="40">
        <f>IF(ISERROR(B35*3.6/1000000/'E Balans VL '!Z22*100),0,B35*3.6/1000000/'E Balans VL '!Z22*100)</f>
        <v>1.0646600279523738E-2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27477.3748697232</v>
      </c>
      <c r="C37" s="40">
        <f>IF(ISERROR(B37*3.6/1000000/'E Balans VL '!Z15*100),0,B37*3.6/1000000/'E Balans VL '!Z15*100)</f>
        <v>0.20749477048694159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914.18238932932888</v>
      </c>
      <c r="C5" s="18">
        <f>'Eigen informatie GS &amp; warmtenet'!B60</f>
        <v>0</v>
      </c>
      <c r="D5" s="31">
        <f>IF(ISERROR(SUM(LB_lb_gas_kWh,LB_rest_gas_kWh)/1000),0,SUM(LB_lb_gas_kWh,LB_rest_gas_kWh)/1000)*0.902</f>
        <v>602.87795814730305</v>
      </c>
      <c r="E5" s="18">
        <f>B17*'E Balans VL '!I25/3.6*1000000/100</f>
        <v>8.6122106297757597</v>
      </c>
      <c r="F5" s="18">
        <f>B17*('E Balans VL '!L25/3.6*1000000+'E Balans VL '!N25/3.6*1000000)/100</f>
        <v>2983.2805268718762</v>
      </c>
      <c r="G5" s="19"/>
      <c r="H5" s="18"/>
      <c r="I5" s="18"/>
      <c r="J5" s="18">
        <f>('E Balans VL '!D25+'E Balans VL '!E25)/3.6*1000000*landbouw!B17/100</f>
        <v>113.08880814232555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914.18238932932888</v>
      </c>
      <c r="C8" s="22">
        <f>C5+C6</f>
        <v>0</v>
      </c>
      <c r="D8" s="22">
        <f>MAX((D5+D6),0)</f>
        <v>602.87795814730305</v>
      </c>
      <c r="E8" s="22">
        <f>MAX((E5+E6),0)</f>
        <v>8.6122106297757597</v>
      </c>
      <c r="F8" s="22">
        <f>MAX((F5+F6),0)</f>
        <v>2983.2805268718762</v>
      </c>
      <c r="G8" s="22"/>
      <c r="H8" s="22"/>
      <c r="I8" s="22"/>
      <c r="J8" s="22">
        <f>MAX((J5+J6),0)</f>
        <v>113.08880814232555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0.21515668305616167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196.69245059645502</v>
      </c>
      <c r="C12" s="24">
        <f ca="1">C8*C10</f>
        <v>0</v>
      </c>
      <c r="D12" s="24">
        <f>D8*D10</f>
        <v>121.78134754575522</v>
      </c>
      <c r="E12" s="24">
        <f>E8*E10</f>
        <v>1.9549718129590976</v>
      </c>
      <c r="F12" s="24">
        <f>F8*F10</f>
        <v>796.53590067479104</v>
      </c>
      <c r="G12" s="24"/>
      <c r="H12" s="24"/>
      <c r="I12" s="24"/>
      <c r="J12" s="24">
        <f>J8*J10</f>
        <v>40.033438082383242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0.12376568734758851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68.326441746423214</v>
      </c>
      <c r="C26" s="246">
        <f>B26*'GWP N2O_CH4'!B5</f>
        <v>1434.8552766748876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4.9133145033180474</v>
      </c>
      <c r="C27" s="246">
        <f>B27*'GWP N2O_CH4'!B5</f>
        <v>103.179604569679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1.2121894724536346</v>
      </c>
      <c r="C28" s="246">
        <f>B28*'GWP N2O_CH4'!B4</f>
        <v>375.77873646062676</v>
      </c>
      <c r="D28" s="51"/>
    </row>
    <row r="29" spans="1:4">
      <c r="A29" s="42" t="s">
        <v>272</v>
      </c>
      <c r="B29" s="246">
        <f>B34*'ha_N2O bodem landbouw'!B4</f>
        <v>6.8445677839883192</v>
      </c>
      <c r="C29" s="246">
        <f>B29*'GWP N2O_CH4'!B4</f>
        <v>2121.816013036379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1.8478178328566132E-3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1.0518405365501587E-4</v>
      </c>
      <c r="C5" s="435" t="s">
        <v>210</v>
      </c>
      <c r="D5" s="420">
        <f>SUM(D6:D11)</f>
        <v>1.2971653776740785E-4</v>
      </c>
      <c r="E5" s="420">
        <f>SUM(E6:E11)</f>
        <v>9.3840407430639851E-3</v>
      </c>
      <c r="F5" s="433" t="s">
        <v>210</v>
      </c>
      <c r="G5" s="420">
        <f>SUM(G6:G11)</f>
        <v>1.8312519341870952</v>
      </c>
      <c r="H5" s="420">
        <f>SUM(H6:H11)</f>
        <v>0.32187216180937972</v>
      </c>
      <c r="I5" s="435" t="s">
        <v>210</v>
      </c>
      <c r="J5" s="435" t="s">
        <v>210</v>
      </c>
      <c r="K5" s="435" t="s">
        <v>210</v>
      </c>
      <c r="L5" s="435" t="s">
        <v>210</v>
      </c>
      <c r="M5" s="420">
        <f>SUM(M6:M11)</f>
        <v>9.6226264484464641E-2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1.7992928595941633E-5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2.0956030570440169E-5</v>
      </c>
      <c r="E6" s="423">
        <f>vkm_GW_PW*SUMIFS(TableVerdeelsleutelVkm[LPG],TableVerdeelsleutelVkm[Voertuigtype],"Lichte voertuigen")*SUMIFS(TableECFTransport[EnergieConsumptieFactor (PJ per km)],TableECFTransport[Index],CONCATENATE($A6,"_LPG_LPG"))</f>
        <v>1.3595734125656687E-3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0.21211901365674471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5.1120648730539585E-2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1.1779992035224483E-2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1.9853330849109123E-7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3.2841790626064606E-2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8.8126227213102761E-7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1.4613525468965174E-3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1.8642647625093387E-5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3.5461523535306522E-5</v>
      </c>
      <c r="E8" s="423">
        <f>vkm_NGW_PW*SUMIFS(TableVerdeelsleutelVkm[LPG],TableVerdeelsleutelVkm[Voertuigtype],"Lichte voertuigen")*SUMIFS(TableECFTransport[EnergieConsumptieFactor (PJ per km)],TableECFTransport[Index],CONCATENATE($A8,"_LPG_LPG"))</f>
        <v>2.1797830001514785E-3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0.32016164762380728</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8.2460744596369775E-2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1.8022978347264459E-2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1.1115109338231919E-7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2.3578284950991551E-2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5.9552772257417381E-7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1.0491550613758163E-3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6.5718369393495538E-5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7.329898366166116E-5</v>
      </c>
      <c r="E10" s="423">
        <f>vkm_SW_PW*SUMIFS(TableVerdeelsleutelVkm[LPG],TableVerdeelsleutelVkm[Voertuigtype],"Lichte voertuigen")*SUMIFS(TableECFTransport[EnergieConsumptieFactor (PJ per km)],TableECFTransport[Index],CONCATENATE($A10,"_LPG_LPG"))</f>
        <v>5.8446843303468377E-3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0.8520027301166363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0.18827777637856805</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4.653460631093178E-2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2.5204236386118932E-6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0.39054846721285069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1.151531390765792E-5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1.73781801827716E-2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29.217792681948854</v>
      </c>
      <c r="C14" s="22"/>
      <c r="D14" s="22">
        <f t="shared" ref="D14:M14" si="0">((D5)*10^9/3600)+D12</f>
        <v>36.032371602057736</v>
      </c>
      <c r="E14" s="22">
        <f t="shared" si="0"/>
        <v>2606.67798418444</v>
      </c>
      <c r="F14" s="22"/>
      <c r="G14" s="22">
        <f t="shared" si="0"/>
        <v>508681.09282974864</v>
      </c>
      <c r="H14" s="22">
        <f t="shared" si="0"/>
        <v>89408.933835938806</v>
      </c>
      <c r="I14" s="22"/>
      <c r="J14" s="22"/>
      <c r="K14" s="22"/>
      <c r="L14" s="22"/>
      <c r="M14" s="22">
        <f t="shared" si="0"/>
        <v>26729.51791235129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0.21515668305616167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6.2864033596707092</v>
      </c>
      <c r="C18" s="24"/>
      <c r="D18" s="24">
        <f t="shared" ref="D18:M18" si="1">D14*D16</f>
        <v>7.2785390636156633</v>
      </c>
      <c r="E18" s="24">
        <f t="shared" si="1"/>
        <v>591.71590240986791</v>
      </c>
      <c r="F18" s="24"/>
      <c r="G18" s="24">
        <f t="shared" si="1"/>
        <v>135817.85178554288</v>
      </c>
      <c r="H18" s="24">
        <f t="shared" si="1"/>
        <v>22262.824525148764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1.3990178640150333E-4</v>
      </c>
      <c r="C50" s="316">
        <f t="shared" ref="C50:P50" si="2">SUM(C51:C52)</f>
        <v>0</v>
      </c>
      <c r="D50" s="316">
        <f t="shared" si="2"/>
        <v>0</v>
      </c>
      <c r="E50" s="316">
        <f t="shared" si="2"/>
        <v>0</v>
      </c>
      <c r="F50" s="316">
        <f t="shared" si="2"/>
        <v>0</v>
      </c>
      <c r="G50" s="316">
        <f t="shared" si="2"/>
        <v>2.7903687123294024E-2</v>
      </c>
      <c r="H50" s="316">
        <f t="shared" si="2"/>
        <v>0</v>
      </c>
      <c r="I50" s="316">
        <f t="shared" si="2"/>
        <v>0</v>
      </c>
      <c r="J50" s="316">
        <f t="shared" si="2"/>
        <v>0</v>
      </c>
      <c r="K50" s="316">
        <f t="shared" si="2"/>
        <v>0</v>
      </c>
      <c r="L50" s="316">
        <f t="shared" si="2"/>
        <v>0</v>
      </c>
      <c r="M50" s="316">
        <f t="shared" si="2"/>
        <v>1.2333132517545699E-3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1.3990178640150333E-4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2.7903687123294024E-2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1.2333132517545699E-3</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38.861607333750918</v>
      </c>
      <c r="C54" s="22">
        <f t="shared" ref="C54:P54" si="3">(C50)*10^9/3600</f>
        <v>0</v>
      </c>
      <c r="D54" s="22">
        <f t="shared" si="3"/>
        <v>0</v>
      </c>
      <c r="E54" s="22">
        <f t="shared" si="3"/>
        <v>0</v>
      </c>
      <c r="F54" s="22">
        <f t="shared" si="3"/>
        <v>0</v>
      </c>
      <c r="G54" s="22">
        <f t="shared" si="3"/>
        <v>7751.024200915007</v>
      </c>
      <c r="H54" s="22">
        <f t="shared" si="3"/>
        <v>0</v>
      </c>
      <c r="I54" s="22">
        <f t="shared" si="3"/>
        <v>0</v>
      </c>
      <c r="J54" s="22">
        <f t="shared" si="3"/>
        <v>0</v>
      </c>
      <c r="K54" s="22">
        <f t="shared" si="3"/>
        <v>0</v>
      </c>
      <c r="L54" s="22">
        <f t="shared" si="3"/>
        <v>0</v>
      </c>
      <c r="M54" s="22">
        <f t="shared" si="3"/>
        <v>342.58701437626939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0.21515668305616167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8.3613345321608552</v>
      </c>
      <c r="C58" s="24">
        <f t="shared" ref="C58:P58" ca="1" si="4">C54*C56</f>
        <v>0</v>
      </c>
      <c r="D58" s="24">
        <f t="shared" si="4"/>
        <v>0</v>
      </c>
      <c r="E58" s="24">
        <f t="shared" si="4"/>
        <v>0</v>
      </c>
      <c r="F58" s="24">
        <f t="shared" si="4"/>
        <v>0</v>
      </c>
      <c r="G58" s="24">
        <f t="shared" si="4"/>
        <v>2069.5234616443072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4453.9839034068764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4453.9839034068764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2021-06-29T16:39:36Z</dcterms:modified>
</cp:coreProperties>
</file>