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D20" i="18"/>
  <c r="G12" i="18"/>
  <c r="F12" i="18"/>
  <c r="E12" i="18"/>
  <c r="D12" i="18"/>
  <c r="C12" i="18"/>
  <c r="L10" i="18"/>
  <c r="K10" i="18"/>
  <c r="G10" i="18"/>
  <c r="D10" i="18"/>
  <c r="B6" i="18"/>
  <c r="B5" i="18"/>
  <c r="B4" i="18"/>
  <c r="B46" i="18" l="1"/>
  <c r="I9" i="18"/>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E49" i="18"/>
  <c r="E8" i="18" s="1"/>
  <c r="E10" i="18" s="1"/>
  <c r="C49" i="18"/>
  <c r="N6" i="17"/>
  <c r="L6" i="17"/>
  <c r="F6" i="17"/>
  <c r="D6" i="17"/>
  <c r="C6" i="17"/>
  <c r="N16" i="16"/>
  <c r="L16" i="16"/>
  <c r="F16" i="16"/>
  <c r="D16" i="16"/>
  <c r="C16" i="16"/>
  <c r="B16" i="16"/>
  <c r="B13" i="15"/>
  <c r="F49" i="18" l="1"/>
  <c r="D49" i="18"/>
  <c r="I49" i="18"/>
  <c r="H8" i="18" s="1"/>
  <c r="H10" i="18" s="1"/>
  <c r="H49" i="18"/>
  <c r="J8" i="18" s="1"/>
  <c r="G49"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M76" i="14"/>
  <c r="M78" i="14"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M8" i="56" l="1"/>
  <c r="M10" i="56" s="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<sst xmlns="http://schemas.openxmlformats.org/spreadsheetml/2006/main" count="2592" uniqueCount="982">
  <si>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</si>
  <si>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</si>
  <si>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</si>
  <si>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</si>
  <si>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</si>
  <si>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</si>
  <si>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</si>
  <si>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</si>
  <si>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</si>
  <si>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</si>
  <si>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</si>
  <si>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</si>
  <si>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</si>
  <si>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</si>
  <si>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</si>
  <si>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</si>
  <si>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</si>
  <si>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</si>
  <si>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</si>
  <si>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</si>
  <si>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</si>
  <si>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</si>
  <si>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</si>
  <si>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</si>
  <si>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</si>
  <si>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</si>
  <si>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</si>
  <si>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</si>
  <si>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</si>
  <si>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</si>
  <si>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</si>
  <si>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</si>
  <si>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</si>
  <si>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</si>
  <si>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</si>
  <si>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</si>
  <si>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</si>
  <si>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</si>
  <si>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</si>
  <si>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</si>
  <si>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</si>
  <si>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</si>
  <si>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</si>
  <si>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</si>
  <si>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</si>
  <si>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</si>
  <si>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</si>
  <si>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</si>
  <si>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</si>
  <si>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</si>
  <si>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</si>
  <si>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</si>
  <si>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</si>
  <si>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</si>
  <si>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</si>
  <si>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</si>
  <si>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</si>
  <si>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</si>
  <si>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</si>
  <si>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</si>
  <si>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</si>
  <si>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</si>
  <si>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</si>
  <si>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</si>
  <si>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</si>
  <si>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</si>
  <si>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</si>
  <si>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</si>
  <si>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</si>
  <si>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</si>
  <si>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</si>
  <si>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</si>
  <si>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</si>
  <si>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</si>
  <si>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</si>
  <si>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</si>
  <si>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</si>
  <si>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</si>
  <si>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</si>
  <si>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</si>
  <si>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</si>
  <si>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</si>
  <si>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</si>
  <si>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</si>
  <si>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</si>
  <si>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</si>
  <si>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</si>
  <si>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</si>
  <si>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</si>
  <si>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</si>
  <si>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</si>
  <si>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</si>
  <si>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</si>
  <si>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</si>
  <si>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</si>
  <si>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</si>
  <si>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</si>
  <si>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</si>
  <si>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</si>
  <si>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</si>
  <si>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</si>
  <si>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</si>
  <si>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</si>
  <si>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</si>
  <si>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</si>
  <si>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</si>
  <si>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</si>
  <si>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</si>
  <si>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</si>
  <si>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</si>
  <si>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</si>
  <si>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</si>
  <si>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</si>
  <si>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</si>
  <si>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</si>
  <si>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</si>
  <si>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</si>
  <si>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</si>
  <si>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</si>
  <si>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</si>
  <si>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</si>
  <si>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</si>
  <si>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</si>
  <si>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</si>
  <si>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</si>
  <si>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</si>
  <si>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</si>
  <si>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</si>
  <si>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</si>
  <si>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</si>
  <si>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</si>
  <si>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</si>
  <si>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</si>
  <si>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</si>
  <si>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</si>
  <si>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</si>
  <si>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</si>
  <si>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</si>
  <si>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</si>
  <si>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</si>
  <si>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</si>
  <si>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</si>
  <si>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</si>
  <si>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</si>
  <si>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</si>
  <si>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</si>
  <si>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</si>
  <si>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</si>
  <si>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</si>
  <si>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</si>
  <si>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</si>
  <si>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</si>
  <si>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</si>
  <si>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</si>
  <si>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</si>
  <si>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</si>
  <si>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</si>
  <si>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</si>
  <si>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</si>
  <si>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</si>
  <si>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</si>
  <si>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</si>
  <si>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</si>
  <si>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</si>
  <si>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</si>
  <si>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</si>
  <si>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</si>
  <si>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</si>
  <si>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</si>
  <si>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</si>
  <si>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</si>
  <si>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</si>
  <si>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</si>
  <si>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</si>
  <si>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</si>
  <si>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</si>
  <si>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</si>
  <si>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</si>
  <si>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</si>
  <si>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</si>
  <si>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</si>
  <si>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</si>
  <si>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</si>
  <si>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</si>
  <si>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</si>
  <si>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</si>
  <si>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</si>
  <si>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</si>
  <si>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</si>
  <si>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</si>
  <si>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</si>
  <si>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</si>
  <si>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</si>
  <si>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</si>
  <si>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</si>
  <si>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</si>
  <si>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</si>
  <si>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</si>
  <si>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</si>
  <si>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</si>
  <si>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</si>
  <si>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</si>
  <si>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</si>
  <si>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</si>
  <si>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</si>
  <si>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</si>
  <si>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</si>
  <si>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</si>
  <si>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</si>
  <si>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</si>
  <si>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</si>
  <si>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</si>
  <si>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</si>
  <si>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</si>
  <si>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</si>
  <si>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</si>
  <si>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</si>
  <si>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</si>
  <si>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</si>
  <si>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</si>
  <si>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</si>
  <si>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</si>
  <si>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</si>
  <si>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</si>
  <si>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</si>
  <si>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</si>
  <si>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</si>
  <si>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</si>
  <si>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</si>
  <si>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</si>
  <si>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</si>
  <si>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</si>
  <si>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</si>
  <si>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</si>
  <si>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</si>
  <si>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</si>
  <si>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</si>
  <si>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</si>
  <si>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</si>
  <si>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</si>
  <si>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</si>
  <si>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</si>
  <si>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</si>
  <si>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</si>
  <si>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</si>
  <si>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</si>
  <si>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</si>
  <si>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</si>
  <si>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</si>
  <si>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</si>
  <si>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</si>
  <si>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</si>
  <si>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</si>
  <si>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</si>
  <si>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</si>
  <si>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</si>
  <si>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</si>
  <si>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</si>
  <si>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</si>
  <si>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</si>
  <si>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</si>
  <si>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</si>
  <si>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</si>
  <si>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</si>
  <si>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</si>
  <si>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</si>
  <si>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</si>
  <si>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</si>
  <si>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</si>
  <si>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</si>
  <si>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</si>
  <si>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</si>
  <si>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</si>
  <si>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</si>
  <si>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</si>
  <si>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</si>
  <si>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</si>
  <si>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</si>
  <si>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</si>
  <si>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</si>
  <si>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</si>
  <si>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</si>
  <si>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</si>
  <si>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</si>
  <si>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</si>
  <si>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</si>
  <si>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</si>
  <si>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</si>
  <si>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</si>
  <si>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</si>
  <si>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</si>
  <si>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</si>
  <si>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</si>
  <si>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</si>
  <si>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</si>
  <si>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</si>
  <si>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</si>
  <si>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</si>
  <si>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</si>
  <si>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</si>
  <si>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</si>
  <si>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</si>
  <si>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</si>
  <si>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</si>
  <si>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</si>
  <si>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</si>
  <si>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</si>
  <si>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</si>
  <si>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</si>
  <si>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</si>
  <si>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</si>
  <si>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</si>
  <si>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</si>
  <si>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</si>
  <si>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</si>
  <si>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</si>
  <si>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</si>
  <si>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</si>
  <si>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</si>
  <si>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</si>
  <si>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</si>
  <si>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</si>
  <si>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</si>
  <si>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</si>
  <si>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</si>
  <si>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</si>
  <si>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</si>
  <si>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</si>
  <si>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</si>
  <si>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</si>
  <si>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</si>
  <si>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</si>
  <si>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</si>
  <si>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</si>
  <si>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</si>
  <si>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</si>
  <si>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</si>
  <si>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</si>
  <si>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</si>
  <si>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</si>
  <si>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</si>
  <si>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</si>
  <si>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</si>
  <si>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</si>
  <si>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</si>
  <si>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</si>
  <si>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</si>
  <si>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</si>
  <si>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</si>
  <si>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</si>
  <si>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</si>
  <si>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</si>
  <si>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</si>
  <si>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</si>
  <si>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</si>
  <si>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</si>
  <si>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</si>
  <si>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</si>
  <si>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</si>
  <si>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</si>
  <si>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</si>
  <si>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</si>
  <si>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</si>
  <si>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</si>
  <si>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</si>
  <si>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</si>
  <si>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</si>
  <si>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</si>
  <si>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</si>
  <si>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</si>
  <si>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</si>
  <si>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</si>
  <si>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</si>
  <si>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</si>
  <si>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</si>
  <si>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</si>
  <si>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</si>
  <si>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</si>
  <si>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</si>
  <si>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</si>
  <si>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</si>
  <si>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</si>
  <si>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</si>
  <si>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</si>
  <si>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</si>
  <si>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</si>
  <si>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</si>
  <si>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</si>
  <si>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</si>
  <si>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</si>
  <si>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</si>
  <si>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</si>
  <si>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</si>
  <si>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</si>
  <si>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</si>
  <si>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</si>
  <si>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</si>
  <si>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</si>
  <si>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</si>
  <si>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</si>
  <si>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</si>
  <si>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</si>
  <si>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</si>
  <si>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</si>
  <si>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</si>
  <si>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</si>
  <si>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</si>
  <si>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</si>
  <si>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</si>
  <si>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</si>
  <si>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</si>
  <si>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</si>
  <si>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</si>
  <si>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</si>
  <si>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</si>
  <si>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</si>
  <si>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</si>
  <si>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</si>
  <si>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</si>
  <si>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</si>
  <si>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</si>
  <si>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</si>
  <si>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</si>
  <si>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</si>
  <si>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</si>
  <si>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</si>
  <si>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</si>
  <si>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</si>
  <si>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</si>
  <si>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</si>
  <si>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</si>
  <si>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</si>
  <si>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</si>
  <si>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</si>
  <si>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</si>
  <si>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</si>
  <si>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</si>
  <si>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</si>
  <si>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</si>
  <si>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</si>
  <si>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</si>
  <si>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</si>
  <si>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</si>
  <si>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</si>
  <si>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</si>
  <si>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</si>
  <si>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</si>
  <si>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</si>
  <si>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</si>
  <si>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</si>
  <si>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</si>
  <si>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</si>
  <si>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</si>
  <si>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</si>
  <si>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</si>
  <si>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</si>
  <si>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</si>
  <si>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</si>
  <si>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</si>
  <si>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</si>
  <si>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</si>
  <si>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</si>
  <si>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</si>
  <si>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</si>
  <si>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</si>
  <si>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</si>
  <si>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</si>
  <si>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</si>
  <si>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</si>
  <si>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</si>
  <si>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</si>
  <si>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</si>
  <si>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</si>
  <si>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</si>
  <si>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</si>
  <si>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</si>
  <si>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</si>
  <si>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</si>
  <si>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</si>
  <si>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</si>
  <si>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</si>
  <si>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</si>
  <si>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</si>
  <si>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</si>
  <si>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</si>
  <si>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</si>
  <si>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</si>
  <si>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</si>
  <si>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</si>
  <si>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</si>
  <si>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</si>
  <si>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</si>
  <si>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</si>
  <si>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</si>
  <si>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</si>
  <si>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</si>
  <si>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</si>
  <si>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</si>
  <si>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</si>
  <si>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</si>
  <si>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</si>
  <si>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</si>
  <si>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</si>
  <si>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</si>
  <si>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</si>
  <si>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</si>
  <si>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</si>
  <si>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</si>
  <si>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</si>
  <si>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</si>
  <si>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</si>
  <si>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</si>
  <si>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</si>
  <si>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</si>
  <si>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</si>
  <si>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</si>
  <si>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</si>
  <si>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</si>
  <si>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</si>
  <si>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</si>
  <si>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</si>
  <si>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</si>
  <si>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</si>
  <si>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</si>
  <si>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</si>
  <si>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</si>
  <si>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</si>
  <si>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</si>
  <si>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</si>
  <si>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</si>
  <si>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</si>
  <si>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</si>
  <si>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</si>
  <si>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</si>
  <si>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</si>
  <si>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</si>
  <si>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</si>
  <si>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</si>
  <si>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</si>
  <si>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</si>
  <si>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</si>
  <si>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</si>
  <si>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</si>
  <si>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</si>
  <si>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</si>
  <si>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</si>
  <si>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</si>
  <si>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</si>
  <si>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</si>
  <si>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</si>
  <si>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</si>
  <si>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</si>
  <si>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</si>
  <si>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</si>
  <si>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</si>
  <si>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</si>
  <si>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</si>
  <si>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</si>
  <si>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</si>
  <si>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</si>
  <si>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</si>
  <si>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</si>
  <si>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</si>
  <si>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</si>
  <si>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</si>
  <si>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</si>
  <si>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</si>
  <si>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</si>
  <si>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</si>
  <si>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</si>
  <si>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</si>
  <si>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</si>
  <si>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</si>
  <si>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</si>
  <si>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</si>
  <si>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</si>
  <si>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</si>
  <si>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</si>
  <si>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</si>
  <si>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</si>
  <si>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</si>
  <si>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</si>
  <si>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</si>
  <si>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</si>
  <si>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</si>
  <si>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</si>
  <si>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</si>
  <si>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</si>
  <si>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</si>
  <si>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</si>
  <si>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</si>
  <si>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</si>
  <si>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</si>
  <si>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</si>
  <si>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</si>
  <si>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</si>
  <si>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</si>
  <si>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</si>
  <si>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</si>
  <si>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</si>
  <si>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</si>
  <si>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</si>
  <si>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</si>
  <si>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</si>
  <si>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</si>
  <si>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</si>
  <si>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</si>
  <si>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</si>
  <si>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</si>
  <si>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</si>
  <si>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</si>
  <si>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</si>
  <si>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</si>
  <si>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</si>
  <si>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</si>
  <si>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</si>
  <si>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</si>
  <si>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</si>
  <si>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</si>
  <si>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</si>
  <si>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</si>
  <si>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</si>
  <si>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</si>
  <si>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</si>
  <si>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</si>
  <si>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</si>
  <si>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</si>
  <si>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</si>
  <si>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</si>
  <si>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</si>
  <si>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</si>
  <si>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</si>
  <si>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</si>
  <si>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</si>
  <si>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</si>
  <si>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</si>
  <si>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</si>
  <si>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</si>
  <si>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</si>
  <si>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</si>
  <si>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</si>
  <si>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</si>
  <si>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</si>
  <si>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</si>
  <si>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</si>
  <si>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</si>
  <si>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</si>
  <si>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</si>
  <si>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</si>
  <si>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</si>
  <si>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</si>
  <si>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</si>
  <si>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</si>
  <si>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</si>
  <si>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</si>
  <si>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</si>
  <si>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</si>
  <si>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</si>
  <si>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</si>
  <si>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</si>
  <si>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</si>
  <si>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</si>
  <si>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</si>
  <si>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</si>
  <si>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</si>
  <si>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</si>
  <si>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</si>
  <si>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</si>
  <si>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</si>
  <si>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</si>
  <si>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</si>
  <si>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</si>
  <si>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</si>
  <si>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</si>
  <si>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</si>
  <si>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</si>
  <si>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</si>
  <si>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</si>
  <si>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</si>
  <si>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</si>
  <si>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</si>
  <si>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</si>
  <si>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</si>
  <si>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</si>
  <si>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</si>
  <si>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</si>
  <si>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</si>
  <si>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</si>
  <si>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</si>
  <si>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</si>
  <si>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</si>
  <si>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</si>
  <si>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</si>
  <si>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</si>
  <si>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</si>
  <si>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</si>
  <si>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</si>
  <si>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</si>
  <si>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</si>
  <si>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</si>
  <si>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</si>
  <si>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</si>
  <si>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</si>
  <si>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</si>
  <si>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</si>
  <si>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</si>
  <si>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</si>
  <si>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</si>
  <si>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</si>
  <si>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</si>
  <si>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</si>
  <si>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</si>
  <si>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</si>
  <si>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</si>
  <si>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</si>
  <si>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</si>
  <si>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</si>
  <si>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</si>
  <si>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</si>
  <si>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</si>
  <si>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</si>
  <si>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</si>
  <si>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</si>
  <si>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</si>
  <si>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</si>
  <si>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</si>
  <si>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</si>
  <si>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</si>
  <si>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</si>
  <si>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</si>
  <si>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</si>
  <si>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</si>
  <si>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</si>
  <si>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</si>
  <si>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</si>
  <si>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</si>
  <si>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</si>
  <si>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</si>
  <si>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</si>
  <si>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</si>
  <si>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</si>
  <si>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</si>
  <si>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</si>
  <si>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</si>
  <si>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</si>
  <si>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</si>
  <si>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</si>
  <si>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</si>
  <si>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</si>
  <si>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</si>
  <si>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</si>
  <si>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</si>
  <si>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</si>
  <si>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</si>
  <si>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</si>
  <si>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</si>
  <si>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</si>
  <si>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</si>
  <si>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</si>
  <si>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</si>
  <si>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</si>
  <si>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</si>
  <si>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</si>
  <si>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</si>
  <si>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</si>
  <si>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</si>
  <si>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</si>
  <si>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</si>
  <si>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</si>
  <si>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</si>
  <si>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</si>
  <si>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</si>
  <si>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</si>
  <si>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</si>
  <si>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</si>
  <si>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</si>
  <si>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</si>
  <si>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</si>
  <si>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</si>
  <si>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</si>
  <si>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</si>
  <si>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</si>
  <si>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</si>
  <si>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</si>
  <si>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</si>
  <si>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</si>
  <si>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</si>
  <si>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</si>
  <si>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</si>
  <si>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</si>
  <si>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</si>
  <si>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</si>
  <si>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</si>
  <si>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</si>
  <si>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</si>
  <si>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</si>
  <si>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</si>
  <si>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</si>
  <si>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</si>
  <si>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</si>
  <si>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</si>
  <si>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</si>
  <si>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</si>
  <si>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</si>
  <si>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</si>
  <si>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</si>
  <si>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</si>
  <si>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</si>
  <si>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</si>
  <si>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</si>
  <si>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</si>
  <si>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</si>
  <si>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</si>
  <si>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</si>
  <si>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</si>
  <si>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</si>
  <si>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</si>
  <si>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</si>
  <si>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</si>
  <si>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</si>
  <si>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</si>
  <si>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</si>
  <si>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</si>
  <si>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</si>
  <si>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</si>
  <si>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</si>
  <si>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</si>
  <si>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</si>
  <si>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</si>
  <si>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</si>
  <si>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</si>
  <si>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</si>
  <si>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</si>
  <si>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</si>
  <si>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</si>
  <si>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</si>
  <si>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</si>
  <si>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</si>
  <si>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</si>
  <si>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</si>
  <si>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</si>
  <si>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</si>
  <si>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</si>
  <si>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</si>
  <si>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</si>
  <si>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</si>
  <si>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</si>
  <si>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</si>
  <si>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</si>
  <si>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</si>
  <si>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</si>
  <si>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</si>
  <si>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</si>
  <si>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</si>
  <si>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</si>
  <si>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</si>
  <si>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</si>
  <si>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</si>
  <si>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</si>
  <si>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</si>
  <si>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</si>
  <si>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</si>
  <si>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</si>
  <si>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</si>
  <si>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</si>
  <si>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</si>
  <si>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</si>
  <si>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</si>
  <si>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</si>
  <si>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</si>
  <si>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</si>
  <si>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</si>
  <si>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</si>
  <si>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</si>
  <si>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</si>
  <si>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</si>
  <si>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</si>
  <si>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</si>
  <si>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</si>
  <si>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</si>
  <si>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</si>
  <si>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</si>
  <si>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</si>
  <si>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</si>
  <si>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</si>
  <si>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</si>
  <si>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</si>
  <si>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</si>
  <si>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</si>
  <si>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</si>
  <si>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</si>
  <si>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</si>
  <si>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</si>
  <si>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</si>
  <si>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</si>
  <si>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</si>
  <si>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</si>
  <si>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</si>
  <si>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</si>
  <si>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</si>
  <si>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</si>
  <si>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</si>
  <si>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</si>
  <si>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</si>
  <si>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</si>
  <si>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</si>
  <si>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</si>
  <si>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</si>
  <si>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</si>
  <si>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</si>
  <si>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</si>
  <si>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</si>
  <si>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</si>
  <si>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</si>
  <si>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</si>
  <si>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</si>
  <si>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</si>
  <si>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</si>
  <si>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</si>
  <si>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</si>
  <si>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</si>
  <si>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</si>
  <si>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</si>
  <si>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</si>
  <si>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</si>
  <si>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</si>
  <si>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</si>
  <si>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</si>
  <si>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</si>
  <si>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</si>
  <si>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</si>
  <si>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</si>
  <si>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</si>
  <si>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</si>
  <si>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</si>
  <si>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</si>
  <si>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</si>
  <si>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</si>
  <si>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</si>
  <si>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</si>
  <si>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</si>
  <si>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</si>
  <si>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</si>
  <si>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</si>
  <si>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</si>
  <si>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</si>
  <si>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</si>
  <si>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</si>
  <si>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</si>
  <si>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</si>
  <si>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</si>
  <si>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</si>
  <si>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</si>
  <si>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</si>
  <si>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</si>
  <si>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</si>
  <si>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</si>
  <si>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</si>
  <si>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</si>
  <si>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13049</t>
  </si>
  <si>
    <t>WESTERLO</t>
  </si>
  <si>
    <t>Paarden&amp;pony's 200 - 600 kg</t>
  </si>
  <si>
    <t>Paarden&amp;pony's &lt; 200 kg</t>
  </si>
  <si>
    <t>Fluvius</t>
  </si>
  <si>
    <t>referentietaak LNE (2017); Jaarverslag De Lijn</t>
  </si>
  <si>
    <t>Zonnige Kempen</t>
  </si>
  <si>
    <t>Grote Markt 39, 2260 Westerlo</t>
  </si>
  <si>
    <t>WKK-0079 Zonnige Kempen</t>
  </si>
  <si>
    <t>interne verbrandingsmotor</t>
  </si>
  <si>
    <t>WKK interne verbrandinsgmotor (gas)</t>
  </si>
  <si>
    <t>Grote Markt 39, 2270 Herenthout</t>
  </si>
  <si>
    <t>IVEKA</t>
  </si>
  <si>
    <t>Vervloet bvba</t>
  </si>
  <si>
    <t>Jagersweg 5, 2260 Westerlo</t>
  </si>
  <si>
    <t>WKK-0146 Vervloet bvba</t>
  </si>
  <si>
    <t>Aquafin NV</t>
  </si>
  <si>
    <t>Dijkstraat 8, 2630 Aartselaar</t>
  </si>
  <si>
    <t>BGS-0047 RWZI Westerlo</t>
  </si>
  <si>
    <t>biogas - RWZI</t>
  </si>
  <si>
    <t>niet WKK interne verbrandingsmotor (gas)</t>
  </si>
  <si>
    <t>Kwarrekendreef 2, 2230 Westerlo</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</si>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</sst>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13049</v>
      </c>
      <c r="B6" s="386"/>
      <c r="C6" s="387"/>
    </row>
    <row r="7" spans="1:7" s="384" customFormat="1" ht="15.75" customHeight="1">
      <c r="A7" s="388" t="str">
        <f>txtMunicipality</f>
        <v>WESTERLO</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43247.763526832896</v>
      </c>
      <c r="D10" s="676">
        <f ca="1">tertiair!C16</f>
        <v>35.357142857142861</v>
      </c>
      <c r="E10" s="676">
        <f ca="1">tertiair!D16</f>
        <v>34623.194881716918</v>
      </c>
      <c r="F10" s="676">
        <f>tertiair!E16</f>
        <v>420.9890218044232</v>
      </c>
      <c r="G10" s="676">
        <f ca="1">tertiair!F16</f>
        <v>8212.5378423874172</v>
      </c>
      <c r="H10" s="676">
        <f>tertiair!G16</f>
        <v>0</v>
      </c>
      <c r="I10" s="676">
        <f>tertiair!H16</f>
        <v>0</v>
      </c>
      <c r="J10" s="676">
        <f>tertiair!I16</f>
        <v>0</v>
      </c>
      <c r="K10" s="676">
        <f>tertiair!J16</f>
        <v>0</v>
      </c>
      <c r="L10" s="676">
        <f>tertiair!K16</f>
        <v>0</v>
      </c>
      <c r="M10" s="676">
        <f ca="1">tertiair!L16</f>
        <v>0</v>
      </c>
      <c r="N10" s="676">
        <f>tertiair!M16</f>
        <v>0</v>
      </c>
      <c r="O10" s="676">
        <f ca="1">tertiair!N16</f>
        <v>256.06163348928249</v>
      </c>
      <c r="P10" s="676">
        <f>tertiair!O16</f>
        <v>6.2533333333333339</v>
      </c>
      <c r="Q10" s="677">
        <f>tertiair!P16</f>
        <v>0</v>
      </c>
      <c r="R10" s="679">
        <f ca="1">SUM(C10:Q10)</f>
        <v>86802.157382421414</v>
      </c>
      <c r="S10" s="68"/>
    </row>
    <row r="11" spans="1:19" s="445" customFormat="1">
      <c r="A11" s="791" t="s">
        <v>220</v>
      </c>
      <c r="B11" s="796"/>
      <c r="C11" s="676">
        <f>huishoudens!B8</f>
        <v>41759.369880548853</v>
      </c>
      <c r="D11" s="676">
        <f>huishoudens!C8</f>
        <v>0</v>
      </c>
      <c r="E11" s="676">
        <f>huishoudens!D8</f>
        <v>102521.7174436995</v>
      </c>
      <c r="F11" s="676">
        <f>huishoudens!E8</f>
        <v>2163.6265879324474</v>
      </c>
      <c r="G11" s="676">
        <f>huishoudens!F8</f>
        <v>65962.693017941434</v>
      </c>
      <c r="H11" s="676">
        <f>huishoudens!G8</f>
        <v>0</v>
      </c>
      <c r="I11" s="676">
        <f>huishoudens!H8</f>
        <v>0</v>
      </c>
      <c r="J11" s="676">
        <f>huishoudens!I8</f>
        <v>0</v>
      </c>
      <c r="K11" s="676">
        <f>huishoudens!J8</f>
        <v>1196.8700803849688</v>
      </c>
      <c r="L11" s="676">
        <f>huishoudens!K8</f>
        <v>0</v>
      </c>
      <c r="M11" s="676">
        <f>huishoudens!L8</f>
        <v>0</v>
      </c>
      <c r="N11" s="676">
        <f>huishoudens!M8</f>
        <v>0</v>
      </c>
      <c r="O11" s="676">
        <f>huishoudens!N8</f>
        <v>14353.160285859529</v>
      </c>
      <c r="P11" s="676">
        <f>huishoudens!O8</f>
        <v>146.95333333333335</v>
      </c>
      <c r="Q11" s="677">
        <f>huishoudens!P8</f>
        <v>953.33333333333326</v>
      </c>
      <c r="R11" s="679">
        <f>SUM(C11:Q11)</f>
        <v>229057.72396303341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143028.50428435096</v>
      </c>
      <c r="D13" s="676">
        <f>industrie!C18</f>
        <v>0</v>
      </c>
      <c r="E13" s="676">
        <f>industrie!D18</f>
        <v>64648.911703095713</v>
      </c>
      <c r="F13" s="676">
        <f>industrie!E18</f>
        <v>1205.3226544918505</v>
      </c>
      <c r="G13" s="676">
        <f>industrie!F18</f>
        <v>19671.041801315609</v>
      </c>
      <c r="H13" s="676">
        <f>industrie!G18</f>
        <v>0</v>
      </c>
      <c r="I13" s="676">
        <f>industrie!H18</f>
        <v>0</v>
      </c>
      <c r="J13" s="676">
        <f>industrie!I18</f>
        <v>0</v>
      </c>
      <c r="K13" s="676">
        <f>industrie!J18</f>
        <v>445.24000715043468</v>
      </c>
      <c r="L13" s="676">
        <f>industrie!K18</f>
        <v>0</v>
      </c>
      <c r="M13" s="676">
        <f>industrie!L18</f>
        <v>0</v>
      </c>
      <c r="N13" s="676">
        <f>industrie!M18</f>
        <v>0</v>
      </c>
      <c r="O13" s="676">
        <f>industrie!N18</f>
        <v>2843.3728677876716</v>
      </c>
      <c r="P13" s="676">
        <f>industrie!O18</f>
        <v>0</v>
      </c>
      <c r="Q13" s="677">
        <f>industrie!P18</f>
        <v>0</v>
      </c>
      <c r="R13" s="679">
        <f>SUM(C13:Q13)</f>
        <v>231842.39331819222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228035.6376917327</v>
      </c>
      <c r="D16" s="709">
        <f t="shared" ref="D16:R16" ca="1" si="0">SUM(D9:D15)</f>
        <v>35.357142857142861</v>
      </c>
      <c r="E16" s="709">
        <f t="shared" ca="1" si="0"/>
        <v>201793.82402851211</v>
      </c>
      <c r="F16" s="709">
        <f t="shared" si="0"/>
        <v>3789.938264228721</v>
      </c>
      <c r="G16" s="709">
        <f t="shared" ca="1" si="0"/>
        <v>93846.272661644471</v>
      </c>
      <c r="H16" s="709">
        <f t="shared" si="0"/>
        <v>0</v>
      </c>
      <c r="I16" s="709">
        <f t="shared" si="0"/>
        <v>0</v>
      </c>
      <c r="J16" s="709">
        <f t="shared" si="0"/>
        <v>0</v>
      </c>
      <c r="K16" s="709">
        <f t="shared" si="0"/>
        <v>1642.1100875354034</v>
      </c>
      <c r="L16" s="709">
        <f t="shared" si="0"/>
        <v>0</v>
      </c>
      <c r="M16" s="709">
        <f t="shared" ca="1" si="0"/>
        <v>0</v>
      </c>
      <c r="N16" s="709">
        <f t="shared" si="0"/>
        <v>0</v>
      </c>
      <c r="O16" s="709">
        <f t="shared" ca="1" si="0"/>
        <v>17452.594787136484</v>
      </c>
      <c r="P16" s="709">
        <f t="shared" si="0"/>
        <v>153.20666666666668</v>
      </c>
      <c r="Q16" s="709">
        <f t="shared" si="0"/>
        <v>953.33333333333326</v>
      </c>
      <c r="R16" s="709">
        <f t="shared" ca="1" si="0"/>
        <v>547702.27466364705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9.8706505033283811</v>
      </c>
      <c r="D19" s="676">
        <f>transport!C54</f>
        <v>0</v>
      </c>
      <c r="E19" s="676">
        <f>transport!D54</f>
        <v>0</v>
      </c>
      <c r="F19" s="676">
        <f>transport!E54</f>
        <v>0</v>
      </c>
      <c r="G19" s="676">
        <f>transport!F54</f>
        <v>0</v>
      </c>
      <c r="H19" s="676">
        <f>transport!G54</f>
        <v>1968.7207035213394</v>
      </c>
      <c r="I19" s="676">
        <f>transport!H54</f>
        <v>0</v>
      </c>
      <c r="J19" s="676">
        <f>transport!I54</f>
        <v>0</v>
      </c>
      <c r="K19" s="676">
        <f>transport!J54</f>
        <v>0</v>
      </c>
      <c r="L19" s="676">
        <f>transport!K54</f>
        <v>0</v>
      </c>
      <c r="M19" s="676">
        <f>transport!L54</f>
        <v>0</v>
      </c>
      <c r="N19" s="676">
        <f>transport!M54</f>
        <v>87.015358290392726</v>
      </c>
      <c r="O19" s="676">
        <f>transport!N54</f>
        <v>0</v>
      </c>
      <c r="P19" s="676">
        <f>transport!O54</f>
        <v>0</v>
      </c>
      <c r="Q19" s="677">
        <f>transport!P54</f>
        <v>0</v>
      </c>
      <c r="R19" s="679">
        <f>SUM(C19:Q19)</f>
        <v>2065.6067123150606</v>
      </c>
      <c r="S19" s="68"/>
    </row>
    <row r="20" spans="1:19" s="445" customFormat="1">
      <c r="A20" s="791" t="s">
        <v>302</v>
      </c>
      <c r="B20" s="796"/>
      <c r="C20" s="676">
        <f>transport!B14</f>
        <v>9.03079816169795</v>
      </c>
      <c r="D20" s="676">
        <f>transport!C14</f>
        <v>0</v>
      </c>
      <c r="E20" s="676">
        <f>transport!D14</f>
        <v>10.602500020173791</v>
      </c>
      <c r="F20" s="676">
        <f>transport!E14</f>
        <v>738.25122072700344</v>
      </c>
      <c r="G20" s="676">
        <f>transport!F14</f>
        <v>0</v>
      </c>
      <c r="H20" s="676">
        <f>transport!G14</f>
        <v>164129.67972293161</v>
      </c>
      <c r="I20" s="676">
        <f>transport!H14</f>
        <v>26164.533581740081</v>
      </c>
      <c r="J20" s="676">
        <f>transport!I14</f>
        <v>0</v>
      </c>
      <c r="K20" s="676">
        <f>transport!J14</f>
        <v>0</v>
      </c>
      <c r="L20" s="676">
        <f>transport!K14</f>
        <v>0</v>
      </c>
      <c r="M20" s="676">
        <f>transport!L14</f>
        <v>0</v>
      </c>
      <c r="N20" s="676">
        <f>transport!M14</f>
        <v>8501.5344977752557</v>
      </c>
      <c r="O20" s="676">
        <f>transport!N14</f>
        <v>0</v>
      </c>
      <c r="P20" s="676">
        <f>transport!O14</f>
        <v>0</v>
      </c>
      <c r="Q20" s="677">
        <f>transport!P14</f>
        <v>0</v>
      </c>
      <c r="R20" s="679">
        <f>SUM(C20:Q20)</f>
        <v>199553.63232135584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18.901448665026329</v>
      </c>
      <c r="D22" s="794">
        <f t="shared" ref="D22:R22" si="1">SUM(D18:D21)</f>
        <v>0</v>
      </c>
      <c r="E22" s="794">
        <f t="shared" si="1"/>
        <v>10.602500020173791</v>
      </c>
      <c r="F22" s="794">
        <f t="shared" si="1"/>
        <v>738.25122072700344</v>
      </c>
      <c r="G22" s="794">
        <f t="shared" si="1"/>
        <v>0</v>
      </c>
      <c r="H22" s="794">
        <f t="shared" si="1"/>
        <v>166098.40042645295</v>
      </c>
      <c r="I22" s="794">
        <f t="shared" si="1"/>
        <v>26164.533581740081</v>
      </c>
      <c r="J22" s="794">
        <f t="shared" si="1"/>
        <v>0</v>
      </c>
      <c r="K22" s="794">
        <f t="shared" si="1"/>
        <v>0</v>
      </c>
      <c r="L22" s="794">
        <f t="shared" si="1"/>
        <v>0</v>
      </c>
      <c r="M22" s="794">
        <f t="shared" si="1"/>
        <v>0</v>
      </c>
      <c r="N22" s="794">
        <f t="shared" si="1"/>
        <v>8588.5498560656488</v>
      </c>
      <c r="O22" s="794">
        <f t="shared" si="1"/>
        <v>0</v>
      </c>
      <c r="P22" s="794">
        <f t="shared" si="1"/>
        <v>0</v>
      </c>
      <c r="Q22" s="794">
        <f t="shared" si="1"/>
        <v>0</v>
      </c>
      <c r="R22" s="794">
        <f t="shared" si="1"/>
        <v>201619.23903367089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3440.1316969937197</v>
      </c>
      <c r="D24" s="676">
        <f>+landbouw!C8</f>
        <v>7515</v>
      </c>
      <c r="E24" s="676">
        <f>+landbouw!D8</f>
        <v>1324.8881815843415</v>
      </c>
      <c r="F24" s="676">
        <f>+landbouw!E8</f>
        <v>32.408345549527787</v>
      </c>
      <c r="G24" s="676">
        <f>+landbouw!F8</f>
        <v>11226.291406734728</v>
      </c>
      <c r="H24" s="676">
        <f>+landbouw!G8</f>
        <v>0</v>
      </c>
      <c r="I24" s="676">
        <f>+landbouw!H8</f>
        <v>0</v>
      </c>
      <c r="J24" s="676">
        <f>+landbouw!I8</f>
        <v>0</v>
      </c>
      <c r="K24" s="676">
        <f>+landbouw!J8</f>
        <v>425.56102371548315</v>
      </c>
      <c r="L24" s="676">
        <f>+landbouw!K8</f>
        <v>0</v>
      </c>
      <c r="M24" s="676">
        <f>+landbouw!L8</f>
        <v>0</v>
      </c>
      <c r="N24" s="676">
        <f>+landbouw!M8</f>
        <v>0</v>
      </c>
      <c r="O24" s="676">
        <f>+landbouw!N8</f>
        <v>0</v>
      </c>
      <c r="P24" s="676">
        <f>+landbouw!O8</f>
        <v>0</v>
      </c>
      <c r="Q24" s="677">
        <f>+landbouw!P8</f>
        <v>0</v>
      </c>
      <c r="R24" s="679">
        <f>SUM(C24:Q24)</f>
        <v>23964.2806545778</v>
      </c>
      <c r="S24" s="68"/>
    </row>
    <row r="25" spans="1:19" s="445" customFormat="1" ht="15" thickBot="1">
      <c r="A25" s="813" t="s">
        <v>879</v>
      </c>
      <c r="B25" s="979"/>
      <c r="C25" s="980">
        <f>IF(Onbekend_ele_kWh="---",0,Onbekend_ele_kWh)/1000+IF(REST_rest_ele_kWh="---",0,REST_rest_ele_kWh)/1000</f>
        <v>1480.8942944503899</v>
      </c>
      <c r="D25" s="980"/>
      <c r="E25" s="980">
        <f>IF(onbekend_gas_kWh="---",0,onbekend_gas_kWh)/1000+IF(REST_rest_gas_kWh="---",0,REST_rest_gas_kWh)/1000</f>
        <v>4260.3995204338007</v>
      </c>
      <c r="F25" s="980"/>
      <c r="G25" s="980"/>
      <c r="H25" s="980"/>
      <c r="I25" s="980"/>
      <c r="J25" s="980"/>
      <c r="K25" s="980"/>
      <c r="L25" s="980"/>
      <c r="M25" s="980"/>
      <c r="N25" s="980"/>
      <c r="O25" s="980"/>
      <c r="P25" s="980"/>
      <c r="Q25" s="981"/>
      <c r="R25" s="679">
        <f>SUM(C25:Q25)</f>
        <v>5741.2938148841904</v>
      </c>
      <c r="S25" s="68"/>
    </row>
    <row r="26" spans="1:19" s="445" customFormat="1" ht="15.75" thickBot="1">
      <c r="A26" s="682" t="s">
        <v>880</v>
      </c>
      <c r="B26" s="799"/>
      <c r="C26" s="794">
        <f>SUM(C24:C25)</f>
        <v>4921.0259914441094</v>
      </c>
      <c r="D26" s="794">
        <f t="shared" ref="D26:R26" si="2">SUM(D24:D25)</f>
        <v>7515</v>
      </c>
      <c r="E26" s="794">
        <f t="shared" si="2"/>
        <v>5585.2877020181422</v>
      </c>
      <c r="F26" s="794">
        <f t="shared" si="2"/>
        <v>32.408345549527787</v>
      </c>
      <c r="G26" s="794">
        <f t="shared" si="2"/>
        <v>11226.291406734728</v>
      </c>
      <c r="H26" s="794">
        <f t="shared" si="2"/>
        <v>0</v>
      </c>
      <c r="I26" s="794">
        <f t="shared" si="2"/>
        <v>0</v>
      </c>
      <c r="J26" s="794">
        <f t="shared" si="2"/>
        <v>0</v>
      </c>
      <c r="K26" s="794">
        <f t="shared" si="2"/>
        <v>425.56102371548315</v>
      </c>
      <c r="L26" s="794">
        <f t="shared" si="2"/>
        <v>0</v>
      </c>
      <c r="M26" s="794">
        <f t="shared" si="2"/>
        <v>0</v>
      </c>
      <c r="N26" s="794">
        <f t="shared" si="2"/>
        <v>0</v>
      </c>
      <c r="O26" s="794">
        <f t="shared" si="2"/>
        <v>0</v>
      </c>
      <c r="P26" s="794">
        <f t="shared" si="2"/>
        <v>0</v>
      </c>
      <c r="Q26" s="794">
        <f t="shared" si="2"/>
        <v>0</v>
      </c>
      <c r="R26" s="794">
        <f t="shared" si="2"/>
        <v>29705.57446946199</v>
      </c>
      <c r="S26" s="68"/>
    </row>
    <row r="27" spans="1:19" s="445" customFormat="1" ht="17.25" thickTop="1" thickBot="1">
      <c r="A27" s="683" t="s">
        <v>115</v>
      </c>
      <c r="B27" s="786"/>
      <c r="C27" s="684">
        <f ca="1">C22+C16+C26</f>
        <v>232975.56513184181</v>
      </c>
      <c r="D27" s="684">
        <f t="shared" ref="D27:R27" ca="1" si="3">D22+D16+D26</f>
        <v>7550.3571428571431</v>
      </c>
      <c r="E27" s="684">
        <f t="shared" ca="1" si="3"/>
        <v>207389.71423055042</v>
      </c>
      <c r="F27" s="684">
        <f t="shared" si="3"/>
        <v>4560.5978305052522</v>
      </c>
      <c r="G27" s="684">
        <f t="shared" ca="1" si="3"/>
        <v>105072.5640683792</v>
      </c>
      <c r="H27" s="684">
        <f t="shared" si="3"/>
        <v>166098.40042645295</v>
      </c>
      <c r="I27" s="684">
        <f t="shared" si="3"/>
        <v>26164.533581740081</v>
      </c>
      <c r="J27" s="684">
        <f t="shared" si="3"/>
        <v>0</v>
      </c>
      <c r="K27" s="684">
        <f t="shared" si="3"/>
        <v>2067.6711112508865</v>
      </c>
      <c r="L27" s="684">
        <f t="shared" si="3"/>
        <v>0</v>
      </c>
      <c r="M27" s="684">
        <f t="shared" ca="1" si="3"/>
        <v>0</v>
      </c>
      <c r="N27" s="684">
        <f t="shared" si="3"/>
        <v>8588.5498560656488</v>
      </c>
      <c r="O27" s="684">
        <f t="shared" ca="1" si="3"/>
        <v>17452.594787136484</v>
      </c>
      <c r="P27" s="684">
        <f t="shared" si="3"/>
        <v>153.20666666666668</v>
      </c>
      <c r="Q27" s="684">
        <f t="shared" si="3"/>
        <v>953.33333333333326</v>
      </c>
      <c r="R27" s="684">
        <f t="shared" ca="1" si="3"/>
        <v>779027.08816677995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9047.0763103261179</v>
      </c>
      <c r="D40" s="676">
        <f ca="1">tertiair!C20</f>
        <v>8.4025210084033635</v>
      </c>
      <c r="E40" s="676">
        <f ca="1">tertiair!D20</f>
        <v>6993.8853661068179</v>
      </c>
      <c r="F40" s="676">
        <f>tertiair!E20</f>
        <v>95.564507949604064</v>
      </c>
      <c r="G40" s="676">
        <f ca="1">tertiair!F20</f>
        <v>2192.7476039174403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18337.676309308386</v>
      </c>
    </row>
    <row r="41" spans="1:18">
      <c r="A41" s="804" t="s">
        <v>220</v>
      </c>
      <c r="B41" s="811"/>
      <c r="C41" s="676">
        <f ca="1">huishoudens!B12</f>
        <v>8735.7166052310422</v>
      </c>
      <c r="D41" s="676">
        <f ca="1">huishoudens!C12</f>
        <v>0</v>
      </c>
      <c r="E41" s="676">
        <f>huishoudens!D12</f>
        <v>20709.386923627299</v>
      </c>
      <c r="F41" s="676">
        <f>huishoudens!E12</f>
        <v>491.14323546066555</v>
      </c>
      <c r="G41" s="676">
        <f>huishoudens!F12</f>
        <v>17612.039035790363</v>
      </c>
      <c r="H41" s="676">
        <f>huishoudens!G12</f>
        <v>0</v>
      </c>
      <c r="I41" s="676">
        <f>huishoudens!H12</f>
        <v>0</v>
      </c>
      <c r="J41" s="676">
        <f>huishoudens!I12</f>
        <v>0</v>
      </c>
      <c r="K41" s="676">
        <f>huishoudens!J12</f>
        <v>423.69200845627893</v>
      </c>
      <c r="L41" s="676">
        <f>huishoudens!K12</f>
        <v>0</v>
      </c>
      <c r="M41" s="676">
        <f>huishoudens!L12</f>
        <v>0</v>
      </c>
      <c r="N41" s="676">
        <f>huishoudens!M12</f>
        <v>0</v>
      </c>
      <c r="O41" s="676">
        <f>huishoudens!N12</f>
        <v>0</v>
      </c>
      <c r="P41" s="676">
        <f>huishoudens!O12</f>
        <v>0</v>
      </c>
      <c r="Q41" s="751">
        <f>huishoudens!P12</f>
        <v>0</v>
      </c>
      <c r="R41" s="832">
        <f t="shared" ca="1" si="4"/>
        <v>47971.977808565651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29920.386334185321</v>
      </c>
      <c r="D43" s="676">
        <f ca="1">industrie!C22</f>
        <v>0</v>
      </c>
      <c r="E43" s="676">
        <f>industrie!D22</f>
        <v>13059.080164025336</v>
      </c>
      <c r="F43" s="676">
        <f>industrie!E22</f>
        <v>273.60824256965009</v>
      </c>
      <c r="G43" s="676">
        <f>industrie!F22</f>
        <v>5252.168160951268</v>
      </c>
      <c r="H43" s="676">
        <f>industrie!G22</f>
        <v>0</v>
      </c>
      <c r="I43" s="676">
        <f>industrie!H22</f>
        <v>0</v>
      </c>
      <c r="J43" s="676">
        <f>industrie!I22</f>
        <v>0</v>
      </c>
      <c r="K43" s="676">
        <f>industrie!J22</f>
        <v>157.61496253125387</v>
      </c>
      <c r="L43" s="676">
        <f>industrie!K22</f>
        <v>0</v>
      </c>
      <c r="M43" s="676">
        <f>industrie!L22</f>
        <v>0</v>
      </c>
      <c r="N43" s="676">
        <f>industrie!M22</f>
        <v>0</v>
      </c>
      <c r="O43" s="676">
        <f>industrie!N22</f>
        <v>0</v>
      </c>
      <c r="P43" s="676">
        <f>industrie!O22</f>
        <v>0</v>
      </c>
      <c r="Q43" s="751">
        <f>industrie!P22</f>
        <v>0</v>
      </c>
      <c r="R43" s="831">
        <f t="shared" ca="1" si="4"/>
        <v>48662.857864262827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47703.179249742483</v>
      </c>
      <c r="D46" s="709">
        <f t="shared" ref="D46:Q46" ca="1" si="5">SUM(D39:D45)</f>
        <v>8.4025210084033635</v>
      </c>
      <c r="E46" s="709">
        <f t="shared" ca="1" si="5"/>
        <v>40762.352453759449</v>
      </c>
      <c r="F46" s="709">
        <f t="shared" si="5"/>
        <v>860.31598597991967</v>
      </c>
      <c r="G46" s="709">
        <f t="shared" ca="1" si="5"/>
        <v>25056.95480065907</v>
      </c>
      <c r="H46" s="709">
        <f t="shared" si="5"/>
        <v>0</v>
      </c>
      <c r="I46" s="709">
        <f t="shared" si="5"/>
        <v>0</v>
      </c>
      <c r="J46" s="709">
        <f t="shared" si="5"/>
        <v>0</v>
      </c>
      <c r="K46" s="709">
        <f t="shared" si="5"/>
        <v>581.30697098753285</v>
      </c>
      <c r="L46" s="709">
        <f t="shared" si="5"/>
        <v>0</v>
      </c>
      <c r="M46" s="709">
        <f t="shared" ca="1" si="5"/>
        <v>0</v>
      </c>
      <c r="N46" s="709">
        <f t="shared" si="5"/>
        <v>0</v>
      </c>
      <c r="O46" s="709">
        <f t="shared" ca="1" si="5"/>
        <v>0</v>
      </c>
      <c r="P46" s="709">
        <f t="shared" si="5"/>
        <v>0</v>
      </c>
      <c r="Q46" s="709">
        <f t="shared" si="5"/>
        <v>0</v>
      </c>
      <c r="R46" s="709">
        <f ca="1">SUM(R39:R45)</f>
        <v>114972.51198213687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2.0648588748586878</v>
      </c>
      <c r="D49" s="676">
        <f ca="1">transport!C58</f>
        <v>0</v>
      </c>
      <c r="E49" s="676">
        <f>transport!D58</f>
        <v>0</v>
      </c>
      <c r="F49" s="676">
        <f>transport!E58</f>
        <v>0</v>
      </c>
      <c r="G49" s="676">
        <f>transport!F58</f>
        <v>0</v>
      </c>
      <c r="H49" s="676">
        <f>transport!G58</f>
        <v>525.64842784019766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527.71328671505637</v>
      </c>
    </row>
    <row r="50" spans="1:18">
      <c r="A50" s="807" t="s">
        <v>302</v>
      </c>
      <c r="B50" s="817"/>
      <c r="C50" s="986">
        <f ca="1">transport!B18</f>
        <v>1.8891686748458638</v>
      </c>
      <c r="D50" s="986">
        <f>transport!C18</f>
        <v>0</v>
      </c>
      <c r="E50" s="986">
        <f>transport!D18</f>
        <v>2.141705004075106</v>
      </c>
      <c r="F50" s="986">
        <f>transport!E18</f>
        <v>167.5830271050298</v>
      </c>
      <c r="G50" s="986">
        <f>transport!F18</f>
        <v>0</v>
      </c>
      <c r="H50" s="986">
        <f>transport!G18</f>
        <v>43822.624486022745</v>
      </c>
      <c r="I50" s="986">
        <f>transport!H18</f>
        <v>6514.96886185328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50509.207248659979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3.9540275497045516</v>
      </c>
      <c r="D52" s="709">
        <f t="shared" ref="D52:Q52" ca="1" si="6">SUM(D48:D51)</f>
        <v>0</v>
      </c>
      <c r="E52" s="709">
        <f t="shared" si="6"/>
        <v>2.141705004075106</v>
      </c>
      <c r="F52" s="709">
        <f t="shared" si="6"/>
        <v>167.5830271050298</v>
      </c>
      <c r="G52" s="709">
        <f t="shared" si="6"/>
        <v>0</v>
      </c>
      <c r="H52" s="709">
        <f t="shared" si="6"/>
        <v>44348.272913862944</v>
      </c>
      <c r="I52" s="709">
        <f t="shared" si="6"/>
        <v>6514.96886185328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51036.920535375037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719.64724744583964</v>
      </c>
      <c r="D54" s="986">
        <f ca="1">+landbouw!C12</f>
        <v>1785.9176470588238</v>
      </c>
      <c r="E54" s="986">
        <f>+landbouw!D12</f>
        <v>267.62741268003703</v>
      </c>
      <c r="F54" s="986">
        <f>+landbouw!E12</f>
        <v>7.3566944397428076</v>
      </c>
      <c r="G54" s="986">
        <f>+landbouw!F12</f>
        <v>2997.4198055981728</v>
      </c>
      <c r="H54" s="986">
        <f>+landbouw!G12</f>
        <v>0</v>
      </c>
      <c r="I54" s="986">
        <f>+landbouw!H12</f>
        <v>0</v>
      </c>
      <c r="J54" s="986">
        <f>+landbouw!I12</f>
        <v>0</v>
      </c>
      <c r="K54" s="986">
        <f>+landbouw!J12</f>
        <v>150.64860239528102</v>
      </c>
      <c r="L54" s="986">
        <f>+landbouw!K12</f>
        <v>0</v>
      </c>
      <c r="M54" s="986">
        <f>+landbouw!L12</f>
        <v>0</v>
      </c>
      <c r="N54" s="986">
        <f>+landbouw!M12</f>
        <v>0</v>
      </c>
      <c r="O54" s="986">
        <f>+landbouw!N12</f>
        <v>0</v>
      </c>
      <c r="P54" s="986">
        <f>+landbouw!O12</f>
        <v>0</v>
      </c>
      <c r="Q54" s="987">
        <f>+landbouw!P12</f>
        <v>0</v>
      </c>
      <c r="R54" s="708">
        <f ca="1">SUM(C54:Q54)</f>
        <v>5928.6174096178975</v>
      </c>
    </row>
    <row r="55" spans="1:18" ht="15" thickBot="1">
      <c r="A55" s="807" t="s">
        <v>879</v>
      </c>
      <c r="B55" s="817"/>
      <c r="C55" s="986">
        <f ca="1">C25*'EF ele_warmte'!B12</f>
        <v>309.79090239213519</v>
      </c>
      <c r="D55" s="986"/>
      <c r="E55" s="986">
        <f>E25*EF_CO2_aardgas</f>
        <v>860.60070312762775</v>
      </c>
      <c r="F55" s="986"/>
      <c r="G55" s="986"/>
      <c r="H55" s="986"/>
      <c r="I55" s="986"/>
      <c r="J55" s="986"/>
      <c r="K55" s="986"/>
      <c r="L55" s="986"/>
      <c r="M55" s="986"/>
      <c r="N55" s="986"/>
      <c r="O55" s="986"/>
      <c r="P55" s="986"/>
      <c r="Q55" s="987"/>
      <c r="R55" s="708">
        <f ca="1">SUM(C55:Q55)</f>
        <v>1170.3916055197628</v>
      </c>
    </row>
    <row r="56" spans="1:18" ht="15.75" thickBot="1">
      <c r="A56" s="805" t="s">
        <v>880</v>
      </c>
      <c r="B56" s="818"/>
      <c r="C56" s="709">
        <f ca="1">SUM(C54:C55)</f>
        <v>1029.4381498379748</v>
      </c>
      <c r="D56" s="709">
        <f t="shared" ref="D56:Q56" ca="1" si="7">SUM(D54:D55)</f>
        <v>1785.9176470588238</v>
      </c>
      <c r="E56" s="709">
        <f t="shared" si="7"/>
        <v>1128.2281158076648</v>
      </c>
      <c r="F56" s="709">
        <f t="shared" si="7"/>
        <v>7.3566944397428076</v>
      </c>
      <c r="G56" s="709">
        <f t="shared" si="7"/>
        <v>2997.4198055981728</v>
      </c>
      <c r="H56" s="709">
        <f t="shared" si="7"/>
        <v>0</v>
      </c>
      <c r="I56" s="709">
        <f t="shared" si="7"/>
        <v>0</v>
      </c>
      <c r="J56" s="709">
        <f t="shared" si="7"/>
        <v>0</v>
      </c>
      <c r="K56" s="709">
        <f t="shared" si="7"/>
        <v>150.64860239528102</v>
      </c>
      <c r="L56" s="709">
        <f t="shared" si="7"/>
        <v>0</v>
      </c>
      <c r="M56" s="709">
        <f t="shared" si="7"/>
        <v>0</v>
      </c>
      <c r="N56" s="709">
        <f t="shared" si="7"/>
        <v>0</v>
      </c>
      <c r="O56" s="709">
        <f t="shared" si="7"/>
        <v>0</v>
      </c>
      <c r="P56" s="709">
        <f t="shared" si="7"/>
        <v>0</v>
      </c>
      <c r="Q56" s="710">
        <f t="shared" si="7"/>
        <v>0</v>
      </c>
      <c r="R56" s="711">
        <f ca="1">SUM(R54:R55)</f>
        <v>7099.0090151376608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48736.571427130162</v>
      </c>
      <c r="D61" s="717">
        <f t="shared" ref="D61:Q61" ca="1" si="8">D46+D52+D56</f>
        <v>1794.3201680672271</v>
      </c>
      <c r="E61" s="717">
        <f t="shared" ca="1" si="8"/>
        <v>41892.722274571192</v>
      </c>
      <c r="F61" s="717">
        <f t="shared" si="8"/>
        <v>1035.2557075246923</v>
      </c>
      <c r="G61" s="717">
        <f t="shared" ca="1" si="8"/>
        <v>28054.374606257243</v>
      </c>
      <c r="H61" s="717">
        <f t="shared" si="8"/>
        <v>44348.272913862944</v>
      </c>
      <c r="I61" s="717">
        <f t="shared" si="8"/>
        <v>6514.96886185328</v>
      </c>
      <c r="J61" s="717">
        <f t="shared" si="8"/>
        <v>0</v>
      </c>
      <c r="K61" s="717">
        <f t="shared" si="8"/>
        <v>731.9555733828139</v>
      </c>
      <c r="L61" s="717">
        <f t="shared" si="8"/>
        <v>0</v>
      </c>
      <c r="M61" s="717">
        <f t="shared" ca="1" si="8"/>
        <v>0</v>
      </c>
      <c r="N61" s="717">
        <f t="shared" si="8"/>
        <v>0</v>
      </c>
      <c r="O61" s="717">
        <f t="shared" ca="1" si="8"/>
        <v>0</v>
      </c>
      <c r="P61" s="717">
        <f t="shared" si="8"/>
        <v>0</v>
      </c>
      <c r="Q61" s="717">
        <f t="shared" si="8"/>
        <v>0</v>
      </c>
      <c r="R61" s="717">
        <f ca="1">R46+R52+R56</f>
        <v>173108.44153264957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0.20919177253438548</v>
      </c>
      <c r="D63" s="761">
        <f t="shared" ca="1" si="9"/>
        <v>0.23764705882352943</v>
      </c>
      <c r="E63" s="988">
        <f t="shared" ca="1" si="9"/>
        <v>0.20200000000000004</v>
      </c>
      <c r="F63" s="761">
        <f t="shared" si="9"/>
        <v>0.22700000000000001</v>
      </c>
      <c r="G63" s="761">
        <f t="shared" ca="1" si="9"/>
        <v>0.26699999999999996</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11505.209659067612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5285.25</v>
      </c>
      <c r="D76" s="998">
        <f>'lokale energieproductie'!C8</f>
        <v>6217.9411764705892</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1256.024117647059</v>
      </c>
      <c r="R76" s="834">
        <v>0</v>
      </c>
    </row>
    <row r="77" spans="1:18" ht="30.75" thickBot="1">
      <c r="A77" s="730" t="s">
        <v>346</v>
      </c>
      <c r="B77" s="727">
        <f>'lokale energieproductie'!B9*IFERROR(SUM(I77:O77)/SUM(D77:O77),0)</f>
        <v>1341</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3831.4285714285716</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12846.209659067612</v>
      </c>
      <c r="C78" s="732">
        <f>SUM(C72:C77)</f>
        <v>5285.25</v>
      </c>
      <c r="D78" s="733">
        <f t="shared" ref="D78:H78" si="10">SUM(D76:D77)</f>
        <v>6217.9411764705892</v>
      </c>
      <c r="E78" s="733">
        <f t="shared" si="10"/>
        <v>0</v>
      </c>
      <c r="F78" s="733">
        <f t="shared" si="10"/>
        <v>0</v>
      </c>
      <c r="G78" s="733">
        <f t="shared" si="10"/>
        <v>0</v>
      </c>
      <c r="H78" s="733">
        <f t="shared" si="10"/>
        <v>0</v>
      </c>
      <c r="I78" s="733">
        <f>SUM(I76:I77)</f>
        <v>0</v>
      </c>
      <c r="J78" s="733">
        <f>SUM(J76:J77)</f>
        <v>3831.4285714285716</v>
      </c>
      <c r="K78" s="733">
        <f t="shared" ref="K78:L78" si="11">SUM(K76:K77)</f>
        <v>0</v>
      </c>
      <c r="L78" s="733">
        <f t="shared" si="11"/>
        <v>0</v>
      </c>
      <c r="M78" s="733">
        <f>SUM(M76:M77)</f>
        <v>0</v>
      </c>
      <c r="N78" s="733">
        <f>SUM(N76:N77)</f>
        <v>0</v>
      </c>
      <c r="O78" s="842">
        <f>SUM(O76:O77)</f>
        <v>0</v>
      </c>
      <c r="P78" s="734">
        <v>0</v>
      </c>
      <c r="Q78" s="734">
        <f>SUM(Q76:Q77)</f>
        <v>1256.024117647059</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7550.3571428571431</v>
      </c>
      <c r="D87" s="754">
        <f>'lokale energieproductie'!C17</f>
        <v>8882.7731092436989</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1794.3201680672273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7550.3571428571431</v>
      </c>
      <c r="D90" s="732">
        <f t="shared" ref="D90:H90" si="12">SUM(D87:D89)</f>
        <v>8882.7731092436989</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1794.3201680672273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41759.369880548853</v>
      </c>
      <c r="C4" s="449">
        <f>huishoudens!C8</f>
        <v>0</v>
      </c>
      <c r="D4" s="449">
        <f>huishoudens!D8</f>
        <v>102521.7174436995</v>
      </c>
      <c r="E4" s="449">
        <f>huishoudens!E8</f>
        <v>2163.6265879324474</v>
      </c>
      <c r="F4" s="449">
        <f>huishoudens!F8</f>
        <v>65962.693017941434</v>
      </c>
      <c r="G4" s="449">
        <f>huishoudens!G8</f>
        <v>0</v>
      </c>
      <c r="H4" s="449">
        <f>huishoudens!H8</f>
        <v>0</v>
      </c>
      <c r="I4" s="449">
        <f>huishoudens!I8</f>
        <v>0</v>
      </c>
      <c r="J4" s="449">
        <f>huishoudens!J8</f>
        <v>1196.8700803849688</v>
      </c>
      <c r="K4" s="449">
        <f>huishoudens!K8</f>
        <v>0</v>
      </c>
      <c r="L4" s="449">
        <f>huishoudens!L8</f>
        <v>0</v>
      </c>
      <c r="M4" s="449">
        <f>huishoudens!M8</f>
        <v>0</v>
      </c>
      <c r="N4" s="449">
        <f>huishoudens!N8</f>
        <v>14353.160285859529</v>
      </c>
      <c r="O4" s="449">
        <f>huishoudens!O8</f>
        <v>146.95333333333335</v>
      </c>
      <c r="P4" s="450">
        <f>huishoudens!P8</f>
        <v>953.33333333333326</v>
      </c>
      <c r="Q4" s="451">
        <f>SUM(B4:P4)</f>
        <v>229057.72396303341</v>
      </c>
    </row>
    <row r="5" spans="1:17">
      <c r="A5" s="448" t="s">
        <v>155</v>
      </c>
      <c r="B5" s="449">
        <f ca="1">tertiair!B16</f>
        <v>41127.259526832895</v>
      </c>
      <c r="C5" s="449">
        <f ca="1">tertiair!C16</f>
        <v>35.357142857142861</v>
      </c>
      <c r="D5" s="449">
        <f ca="1">tertiair!D16</f>
        <v>34623.194881716918</v>
      </c>
      <c r="E5" s="449">
        <f>tertiair!E16</f>
        <v>420.9890218044232</v>
      </c>
      <c r="F5" s="449">
        <f ca="1">tertiair!F16</f>
        <v>8212.5378423874172</v>
      </c>
      <c r="G5" s="449">
        <f>tertiair!G16</f>
        <v>0</v>
      </c>
      <c r="H5" s="449">
        <f>tertiair!H16</f>
        <v>0</v>
      </c>
      <c r="I5" s="449">
        <f>tertiair!I16</f>
        <v>0</v>
      </c>
      <c r="J5" s="449">
        <f>tertiair!J16</f>
        <v>0</v>
      </c>
      <c r="K5" s="449">
        <f>tertiair!K16</f>
        <v>0</v>
      </c>
      <c r="L5" s="449">
        <f ca="1">tertiair!L16</f>
        <v>0</v>
      </c>
      <c r="M5" s="449">
        <f>tertiair!M16</f>
        <v>0</v>
      </c>
      <c r="N5" s="449">
        <f ca="1">tertiair!N16</f>
        <v>256.06163348928249</v>
      </c>
      <c r="O5" s="449">
        <f>tertiair!O16</f>
        <v>6.2533333333333339</v>
      </c>
      <c r="P5" s="450">
        <f>tertiair!P16</f>
        <v>0</v>
      </c>
      <c r="Q5" s="448">
        <f t="shared" ref="Q5:Q14" ca="1" si="0">SUM(B5:P5)</f>
        <v>84681.653382421398</v>
      </c>
    </row>
    <row r="6" spans="1:17">
      <c r="A6" s="448" t="s">
        <v>193</v>
      </c>
      <c r="B6" s="449">
        <f>'openbare verlichting'!B8</f>
        <v>2120.5039999999999</v>
      </c>
      <c r="C6" s="449"/>
      <c r="D6" s="449"/>
      <c r="E6" s="449"/>
      <c r="F6" s="449"/>
      <c r="G6" s="449"/>
      <c r="H6" s="449"/>
      <c r="I6" s="449"/>
      <c r="J6" s="449"/>
      <c r="K6" s="449"/>
      <c r="L6" s="449"/>
      <c r="M6" s="449"/>
      <c r="N6" s="449"/>
      <c r="O6" s="449"/>
      <c r="P6" s="450"/>
      <c r="Q6" s="448">
        <f t="shared" si="0"/>
        <v>2120.5039999999999</v>
      </c>
    </row>
    <row r="7" spans="1:17">
      <c r="A7" s="448" t="s">
        <v>111</v>
      </c>
      <c r="B7" s="449">
        <f>landbouw!B8</f>
        <v>3440.1316969937197</v>
      </c>
      <c r="C7" s="449">
        <f>landbouw!C8</f>
        <v>7515</v>
      </c>
      <c r="D7" s="449">
        <f>landbouw!D8</f>
        <v>1324.8881815843415</v>
      </c>
      <c r="E7" s="449">
        <f>landbouw!E8</f>
        <v>32.408345549527787</v>
      </c>
      <c r="F7" s="449">
        <f>landbouw!F8</f>
        <v>11226.291406734728</v>
      </c>
      <c r="G7" s="449">
        <f>landbouw!G8</f>
        <v>0</v>
      </c>
      <c r="H7" s="449">
        <f>landbouw!H8</f>
        <v>0</v>
      </c>
      <c r="I7" s="449">
        <f>landbouw!I8</f>
        <v>0</v>
      </c>
      <c r="J7" s="449">
        <f>landbouw!J8</f>
        <v>425.56102371548315</v>
      </c>
      <c r="K7" s="449">
        <f>landbouw!K8</f>
        <v>0</v>
      </c>
      <c r="L7" s="449">
        <f>landbouw!L8</f>
        <v>0</v>
      </c>
      <c r="M7" s="449">
        <f>landbouw!M8</f>
        <v>0</v>
      </c>
      <c r="N7" s="449">
        <f>landbouw!N8</f>
        <v>0</v>
      </c>
      <c r="O7" s="449">
        <f>landbouw!O8</f>
        <v>0</v>
      </c>
      <c r="P7" s="450">
        <f>landbouw!P8</f>
        <v>0</v>
      </c>
      <c r="Q7" s="448">
        <f t="shared" si="0"/>
        <v>23964.2806545778</v>
      </c>
    </row>
    <row r="8" spans="1:17">
      <c r="A8" s="448" t="s">
        <v>671</v>
      </c>
      <c r="B8" s="449">
        <f>industrie!B18</f>
        <v>143028.50428435096</v>
      </c>
      <c r="C8" s="449">
        <f>industrie!C18</f>
        <v>0</v>
      </c>
      <c r="D8" s="449">
        <f>industrie!D18</f>
        <v>64648.911703095713</v>
      </c>
      <c r="E8" s="449">
        <f>industrie!E18</f>
        <v>1205.3226544918505</v>
      </c>
      <c r="F8" s="449">
        <f>industrie!F18</f>
        <v>19671.041801315609</v>
      </c>
      <c r="G8" s="449">
        <f>industrie!G18</f>
        <v>0</v>
      </c>
      <c r="H8" s="449">
        <f>industrie!H18</f>
        <v>0</v>
      </c>
      <c r="I8" s="449">
        <f>industrie!I18</f>
        <v>0</v>
      </c>
      <c r="J8" s="449">
        <f>industrie!J18</f>
        <v>445.24000715043468</v>
      </c>
      <c r="K8" s="449">
        <f>industrie!K18</f>
        <v>0</v>
      </c>
      <c r="L8" s="449">
        <f>industrie!L18</f>
        <v>0</v>
      </c>
      <c r="M8" s="449">
        <f>industrie!M18</f>
        <v>0</v>
      </c>
      <c r="N8" s="449">
        <f>industrie!N18</f>
        <v>2843.3728677876716</v>
      </c>
      <c r="O8" s="449">
        <f>industrie!O18</f>
        <v>0</v>
      </c>
      <c r="P8" s="450">
        <f>industrie!P18</f>
        <v>0</v>
      </c>
      <c r="Q8" s="448">
        <f t="shared" si="0"/>
        <v>231842.39331819222</v>
      </c>
    </row>
    <row r="9" spans="1:17" s="454" customFormat="1">
      <c r="A9" s="452" t="s">
        <v>568</v>
      </c>
      <c r="B9" s="453">
        <f>transport!B14</f>
        <v>9.03079816169795</v>
      </c>
      <c r="C9" s="453">
        <f>transport!C14</f>
        <v>0</v>
      </c>
      <c r="D9" s="453">
        <f>transport!D14</f>
        <v>10.602500020173791</v>
      </c>
      <c r="E9" s="453">
        <f>transport!E14</f>
        <v>738.25122072700344</v>
      </c>
      <c r="F9" s="453">
        <f>transport!F14</f>
        <v>0</v>
      </c>
      <c r="G9" s="453">
        <f>transport!G14</f>
        <v>164129.67972293161</v>
      </c>
      <c r="H9" s="453">
        <f>transport!H14</f>
        <v>26164.533581740081</v>
      </c>
      <c r="I9" s="453">
        <f>transport!I14</f>
        <v>0</v>
      </c>
      <c r="J9" s="453">
        <f>transport!J14</f>
        <v>0</v>
      </c>
      <c r="K9" s="453">
        <f>transport!K14</f>
        <v>0</v>
      </c>
      <c r="L9" s="453">
        <f>transport!L14</f>
        <v>0</v>
      </c>
      <c r="M9" s="453">
        <f>transport!M14</f>
        <v>8501.5344977752557</v>
      </c>
      <c r="N9" s="453">
        <f>transport!N14</f>
        <v>0</v>
      </c>
      <c r="O9" s="453">
        <f>transport!O14</f>
        <v>0</v>
      </c>
      <c r="P9" s="453">
        <f>transport!P14</f>
        <v>0</v>
      </c>
      <c r="Q9" s="452">
        <f>SUM(B9:P9)</f>
        <v>199553.63232135584</v>
      </c>
    </row>
    <row r="10" spans="1:17">
      <c r="A10" s="448" t="s">
        <v>558</v>
      </c>
      <c r="B10" s="449">
        <f>transport!B54</f>
        <v>9.8706505033283811</v>
      </c>
      <c r="C10" s="449">
        <f>transport!C54</f>
        <v>0</v>
      </c>
      <c r="D10" s="449">
        <f>transport!D54</f>
        <v>0</v>
      </c>
      <c r="E10" s="449">
        <f>transport!E54</f>
        <v>0</v>
      </c>
      <c r="F10" s="449">
        <f>transport!F54</f>
        <v>0</v>
      </c>
      <c r="G10" s="449">
        <f>transport!G54</f>
        <v>1968.7207035213394</v>
      </c>
      <c r="H10" s="449">
        <f>transport!H54</f>
        <v>0</v>
      </c>
      <c r="I10" s="449">
        <f>transport!I54</f>
        <v>0</v>
      </c>
      <c r="J10" s="449">
        <f>transport!J54</f>
        <v>0</v>
      </c>
      <c r="K10" s="449">
        <f>transport!K54</f>
        <v>0</v>
      </c>
      <c r="L10" s="449">
        <f>transport!L54</f>
        <v>0</v>
      </c>
      <c r="M10" s="449">
        <f>transport!M54</f>
        <v>87.015358290392726</v>
      </c>
      <c r="N10" s="449">
        <f>transport!N54</f>
        <v>0</v>
      </c>
      <c r="O10" s="449">
        <f>transport!O54</f>
        <v>0</v>
      </c>
      <c r="P10" s="450">
        <f>transport!P54</f>
        <v>0</v>
      </c>
      <c r="Q10" s="448">
        <f t="shared" si="0"/>
        <v>2065.6067123150606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1480.8942944503899</v>
      </c>
      <c r="C14" s="456"/>
      <c r="D14" s="456">
        <f>'SEAP template'!E25</f>
        <v>4260.3995204338007</v>
      </c>
      <c r="E14" s="456"/>
      <c r="F14" s="456"/>
      <c r="G14" s="456"/>
      <c r="H14" s="456"/>
      <c r="I14" s="456"/>
      <c r="J14" s="456"/>
      <c r="K14" s="456"/>
      <c r="L14" s="456"/>
      <c r="M14" s="456"/>
      <c r="N14" s="456"/>
      <c r="O14" s="456"/>
      <c r="P14" s="457"/>
      <c r="Q14" s="448">
        <f t="shared" si="0"/>
        <v>5741.2938148841904</v>
      </c>
    </row>
    <row r="15" spans="1:17" s="461" customFormat="1">
      <c r="A15" s="458" t="s">
        <v>562</v>
      </c>
      <c r="B15" s="459">
        <f ca="1">SUM(B4:B14)</f>
        <v>232975.56513184184</v>
      </c>
      <c r="C15" s="459">
        <f t="shared" ref="C15:Q15" ca="1" si="1">SUM(C4:C14)</f>
        <v>7550.3571428571431</v>
      </c>
      <c r="D15" s="459">
        <f t="shared" ca="1" si="1"/>
        <v>207389.71423055042</v>
      </c>
      <c r="E15" s="459">
        <f t="shared" si="1"/>
        <v>4560.5978305052531</v>
      </c>
      <c r="F15" s="459">
        <f t="shared" ca="1" si="1"/>
        <v>105072.5640683792</v>
      </c>
      <c r="G15" s="459">
        <f t="shared" si="1"/>
        <v>166098.40042645295</v>
      </c>
      <c r="H15" s="459">
        <f t="shared" si="1"/>
        <v>26164.533581740081</v>
      </c>
      <c r="I15" s="459">
        <f t="shared" si="1"/>
        <v>0</v>
      </c>
      <c r="J15" s="459">
        <f t="shared" si="1"/>
        <v>2067.6711112508865</v>
      </c>
      <c r="K15" s="459">
        <f t="shared" si="1"/>
        <v>0</v>
      </c>
      <c r="L15" s="459">
        <f t="shared" ca="1" si="1"/>
        <v>0</v>
      </c>
      <c r="M15" s="459">
        <f t="shared" si="1"/>
        <v>8588.5498560656488</v>
      </c>
      <c r="N15" s="459">
        <f t="shared" ca="1" si="1"/>
        <v>17452.594787136484</v>
      </c>
      <c r="O15" s="459">
        <f t="shared" si="1"/>
        <v>153.20666666666668</v>
      </c>
      <c r="P15" s="459">
        <f t="shared" si="1"/>
        <v>953.33333333333326</v>
      </c>
      <c r="Q15" s="459">
        <f t="shared" ca="1" si="1"/>
        <v>779027.08816677995</v>
      </c>
    </row>
    <row r="17" spans="1:17">
      <c r="A17" s="462" t="s">
        <v>563</v>
      </c>
      <c r="B17" s="766">
        <f ca="1">huishoudens!B10</f>
        <v>0.20919177253438545</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8735.7166052310422</v>
      </c>
      <c r="C22" s="449">
        <f t="shared" ref="C22:C32" ca="1" si="3">C4*$C$17</f>
        <v>0</v>
      </c>
      <c r="D22" s="449">
        <f t="shared" ref="D22:D32" si="4">D4*$D$17</f>
        <v>20709.386923627299</v>
      </c>
      <c r="E22" s="449">
        <f t="shared" ref="E22:E32" si="5">E4*$E$17</f>
        <v>491.14323546066555</v>
      </c>
      <c r="F22" s="449">
        <f t="shared" ref="F22:F32" si="6">F4*$F$17</f>
        <v>17612.039035790363</v>
      </c>
      <c r="G22" s="449">
        <f t="shared" ref="G22:G32" si="7">G4*$G$17</f>
        <v>0</v>
      </c>
      <c r="H22" s="449">
        <f t="shared" ref="H22:H32" si="8">H4*$H$17</f>
        <v>0</v>
      </c>
      <c r="I22" s="449">
        <f t="shared" ref="I22:I32" si="9">I4*$I$17</f>
        <v>0</v>
      </c>
      <c r="J22" s="449">
        <f t="shared" ref="J22:J32" si="10">J4*$J$17</f>
        <v>423.69200845627893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47971.977808565651</v>
      </c>
    </row>
    <row r="23" spans="1:17">
      <c r="A23" s="448" t="s">
        <v>155</v>
      </c>
      <c r="B23" s="449">
        <f t="shared" ca="1" si="2"/>
        <v>8603.4843198998642</v>
      </c>
      <c r="C23" s="449">
        <f t="shared" ca="1" si="3"/>
        <v>8.4025210084033635</v>
      </c>
      <c r="D23" s="449">
        <f t="shared" ca="1" si="4"/>
        <v>6993.8853661068179</v>
      </c>
      <c r="E23" s="449">
        <f t="shared" si="5"/>
        <v>95.564507949604064</v>
      </c>
      <c r="F23" s="449">
        <f t="shared" ca="1" si="6"/>
        <v>2192.7476039174403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17894.084318882131</v>
      </c>
    </row>
    <row r="24" spans="1:17">
      <c r="A24" s="448" t="s">
        <v>193</v>
      </c>
      <c r="B24" s="449">
        <f t="shared" ca="1" si="2"/>
        <v>443.59199042625448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443.59199042625448</v>
      </c>
    </row>
    <row r="25" spans="1:17">
      <c r="A25" s="448" t="s">
        <v>111</v>
      </c>
      <c r="B25" s="449">
        <f t="shared" ca="1" si="2"/>
        <v>719.64724744583964</v>
      </c>
      <c r="C25" s="449">
        <f t="shared" ca="1" si="3"/>
        <v>1785.9176470588238</v>
      </c>
      <c r="D25" s="449">
        <f t="shared" si="4"/>
        <v>267.62741268003703</v>
      </c>
      <c r="E25" s="449">
        <f t="shared" si="5"/>
        <v>7.3566944397428076</v>
      </c>
      <c r="F25" s="449">
        <f t="shared" si="6"/>
        <v>2997.4198055981728</v>
      </c>
      <c r="G25" s="449">
        <f t="shared" si="7"/>
        <v>0</v>
      </c>
      <c r="H25" s="449">
        <f t="shared" si="8"/>
        <v>0</v>
      </c>
      <c r="I25" s="449">
        <f t="shared" si="9"/>
        <v>0</v>
      </c>
      <c r="J25" s="449">
        <f t="shared" si="10"/>
        <v>150.64860239528102</v>
      </c>
      <c r="K25" s="449">
        <f t="shared" si="11"/>
        <v>0</v>
      </c>
      <c r="L25" s="449">
        <f t="shared" si="12"/>
        <v>0</v>
      </c>
      <c r="M25" s="449">
        <f t="shared" si="13"/>
        <v>0</v>
      </c>
      <c r="N25" s="449">
        <f t="shared" si="14"/>
        <v>0</v>
      </c>
      <c r="O25" s="449">
        <f t="shared" si="15"/>
        <v>0</v>
      </c>
      <c r="P25" s="450">
        <f t="shared" si="16"/>
        <v>0</v>
      </c>
      <c r="Q25" s="448">
        <f t="shared" ca="1" si="17"/>
        <v>5928.6174096178975</v>
      </c>
    </row>
    <row r="26" spans="1:17">
      <c r="A26" s="448" t="s">
        <v>671</v>
      </c>
      <c r="B26" s="449">
        <f t="shared" ca="1" si="2"/>
        <v>29920.386334185321</v>
      </c>
      <c r="C26" s="449">
        <f t="shared" ca="1" si="3"/>
        <v>0</v>
      </c>
      <c r="D26" s="449">
        <f t="shared" si="4"/>
        <v>13059.080164025336</v>
      </c>
      <c r="E26" s="449">
        <f t="shared" si="5"/>
        <v>273.60824256965009</v>
      </c>
      <c r="F26" s="449">
        <f t="shared" si="6"/>
        <v>5252.168160951268</v>
      </c>
      <c r="G26" s="449">
        <f t="shared" si="7"/>
        <v>0</v>
      </c>
      <c r="H26" s="449">
        <f t="shared" si="8"/>
        <v>0</v>
      </c>
      <c r="I26" s="449">
        <f t="shared" si="9"/>
        <v>0</v>
      </c>
      <c r="J26" s="449">
        <f t="shared" si="10"/>
        <v>157.61496253125387</v>
      </c>
      <c r="K26" s="449">
        <f t="shared" si="11"/>
        <v>0</v>
      </c>
      <c r="L26" s="449">
        <f t="shared" si="12"/>
        <v>0</v>
      </c>
      <c r="M26" s="449">
        <f t="shared" si="13"/>
        <v>0</v>
      </c>
      <c r="N26" s="449">
        <f t="shared" si="14"/>
        <v>0</v>
      </c>
      <c r="O26" s="449">
        <f t="shared" si="15"/>
        <v>0</v>
      </c>
      <c r="P26" s="450">
        <f t="shared" si="16"/>
        <v>0</v>
      </c>
      <c r="Q26" s="448">
        <f t="shared" ca="1" si="17"/>
        <v>48662.857864262827</v>
      </c>
    </row>
    <row r="27" spans="1:17" s="454" customFormat="1">
      <c r="A27" s="452" t="s">
        <v>568</v>
      </c>
      <c r="B27" s="760">
        <f t="shared" ca="1" si="2"/>
        <v>1.8891686748458638</v>
      </c>
      <c r="C27" s="453">
        <f t="shared" ca="1" si="3"/>
        <v>0</v>
      </c>
      <c r="D27" s="453">
        <f t="shared" si="4"/>
        <v>2.141705004075106</v>
      </c>
      <c r="E27" s="453">
        <f t="shared" si="5"/>
        <v>167.5830271050298</v>
      </c>
      <c r="F27" s="453">
        <f t="shared" si="6"/>
        <v>0</v>
      </c>
      <c r="G27" s="453">
        <f t="shared" si="7"/>
        <v>43822.624486022745</v>
      </c>
      <c r="H27" s="453">
        <f t="shared" si="8"/>
        <v>6514.96886185328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50509.207248659979</v>
      </c>
    </row>
    <row r="28" spans="1:17">
      <c r="A28" s="448" t="s">
        <v>558</v>
      </c>
      <c r="B28" s="449">
        <f t="shared" ca="1" si="2"/>
        <v>2.0648588748586878</v>
      </c>
      <c r="C28" s="449">
        <f t="shared" ca="1" si="3"/>
        <v>0</v>
      </c>
      <c r="D28" s="449">
        <f t="shared" si="4"/>
        <v>0</v>
      </c>
      <c r="E28" s="449">
        <f t="shared" si="5"/>
        <v>0</v>
      </c>
      <c r="F28" s="449">
        <f t="shared" si="6"/>
        <v>0</v>
      </c>
      <c r="G28" s="449">
        <f t="shared" si="7"/>
        <v>525.64842784019766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527.71328671505637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309.79090239213519</v>
      </c>
      <c r="C32" s="449">
        <f t="shared" ca="1" si="3"/>
        <v>0</v>
      </c>
      <c r="D32" s="449">
        <f t="shared" si="4"/>
        <v>860.60070312762775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1170.3916055197628</v>
      </c>
    </row>
    <row r="33" spans="1:17" s="461" customFormat="1">
      <c r="A33" s="458" t="s">
        <v>562</v>
      </c>
      <c r="B33" s="459">
        <f ca="1">SUM(B22:B32)</f>
        <v>48736.571427130162</v>
      </c>
      <c r="C33" s="459">
        <f t="shared" ref="C33:Q33" ca="1" si="18">SUM(C22:C32)</f>
        <v>1794.3201680672271</v>
      </c>
      <c r="D33" s="459">
        <f t="shared" ca="1" si="18"/>
        <v>41892.722274571199</v>
      </c>
      <c r="E33" s="459">
        <f t="shared" si="18"/>
        <v>1035.2557075246923</v>
      </c>
      <c r="F33" s="459">
        <f t="shared" ca="1" si="18"/>
        <v>28054.374606257243</v>
      </c>
      <c r="G33" s="459">
        <f t="shared" si="18"/>
        <v>44348.272913862944</v>
      </c>
      <c r="H33" s="459">
        <f t="shared" si="18"/>
        <v>6514.96886185328</v>
      </c>
      <c r="I33" s="459">
        <f t="shared" si="18"/>
        <v>0</v>
      </c>
      <c r="J33" s="459">
        <f t="shared" si="18"/>
        <v>731.95557338281378</v>
      </c>
      <c r="K33" s="459">
        <f t="shared" si="18"/>
        <v>0</v>
      </c>
      <c r="L33" s="459">
        <f t="shared" ca="1" si="18"/>
        <v>0</v>
      </c>
      <c r="M33" s="459">
        <f t="shared" si="18"/>
        <v>0</v>
      </c>
      <c r="N33" s="459">
        <f t="shared" ca="1" si="18"/>
        <v>0</v>
      </c>
      <c r="O33" s="459">
        <f t="shared" si="18"/>
        <v>0</v>
      </c>
      <c r="P33" s="459">
        <f t="shared" si="18"/>
        <v>0</v>
      </c>
      <c r="Q33" s="459">
        <f t="shared" ca="1" si="18"/>
        <v>173108.44153264957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11505.209659067612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5285.25</v>
      </c>
      <c r="D8" s="1015">
        <f>'SEAP template'!D76</f>
        <v>6217.9411764705892</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1256.024117647059</v>
      </c>
    </row>
    <row r="9" spans="1:16">
      <c r="A9" s="1018" t="s">
        <v>891</v>
      </c>
      <c r="B9" s="1015">
        <f>'SEAP template'!B77</f>
        <v>1341</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3831.4285714285716</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12846.209659067612</v>
      </c>
      <c r="C10" s="1019">
        <f>SUM(C4:C9)</f>
        <v>5285.25</v>
      </c>
      <c r="D10" s="1019">
        <f t="shared" ref="D10:H10" si="0">SUM(D8:D9)</f>
        <v>6217.9411764705892</v>
      </c>
      <c r="E10" s="1019">
        <f t="shared" si="0"/>
        <v>0</v>
      </c>
      <c r="F10" s="1019">
        <f t="shared" si="0"/>
        <v>0</v>
      </c>
      <c r="G10" s="1019">
        <f t="shared" si="0"/>
        <v>0</v>
      </c>
      <c r="H10" s="1019">
        <f t="shared" si="0"/>
        <v>0</v>
      </c>
      <c r="I10" s="1019">
        <f>SUM(I8:I9)</f>
        <v>0</v>
      </c>
      <c r="J10" s="1019">
        <f>SUM(J8:J9)</f>
        <v>3831.4285714285716</v>
      </c>
      <c r="K10" s="1019">
        <f t="shared" ref="K10:L10" si="1">SUM(K8:K9)</f>
        <v>0</v>
      </c>
      <c r="L10" s="1019">
        <f t="shared" si="1"/>
        <v>0</v>
      </c>
      <c r="M10" s="1019">
        <f>SUM(M8:M9)</f>
        <v>0</v>
      </c>
      <c r="N10" s="1019">
        <f>SUM(N8:N9)</f>
        <v>0</v>
      </c>
      <c r="O10" s="1019">
        <f>SUM(O8:O9)</f>
        <v>0</v>
      </c>
      <c r="P10" s="1019">
        <f>SUM(P8:P9)</f>
        <v>1256.024117647059</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0.20919177253438545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7550.3571428571431</v>
      </c>
      <c r="D17" s="1016">
        <f>'SEAP template'!D87</f>
        <v>8882.7731092436989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1794.3201680672273</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7550.3571428571431</v>
      </c>
      <c r="D20" s="1019">
        <f t="shared" ref="D20:H20" si="2">SUM(D17:D19)</f>
        <v>8882.7731092436989</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1794.3201680672273</v>
      </c>
    </row>
    <row r="22" spans="1:16">
      <c r="A22" s="462" t="s">
        <v>899</v>
      </c>
      <c r="B22" s="766" t="s">
        <v>893</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0.20919177253438545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3</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4.6900000000000004</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0.20919177253438545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0.20919177253438545</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9964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2198</v>
      </c>
      <c r="C14" s="327"/>
      <c r="D14" s="327"/>
      <c r="E14" s="327"/>
      <c r="F14" s="327"/>
    </row>
    <row r="15" spans="1:6">
      <c r="A15" s="1295" t="s">
        <v>183</v>
      </c>
      <c r="B15" s="1296">
        <v>3665</v>
      </c>
      <c r="C15" s="327"/>
      <c r="D15" s="327"/>
      <c r="E15" s="327"/>
      <c r="F15" s="327"/>
    </row>
    <row r="16" spans="1:6">
      <c r="A16" s="1295" t="s">
        <v>6</v>
      </c>
      <c r="B16" s="1296">
        <v>1548</v>
      </c>
      <c r="C16" s="327"/>
      <c r="D16" s="327"/>
      <c r="E16" s="327"/>
      <c r="F16" s="327"/>
    </row>
    <row r="17" spans="1:6">
      <c r="A17" s="1295" t="s">
        <v>7</v>
      </c>
      <c r="B17" s="1296">
        <v>196</v>
      </c>
      <c r="C17" s="327"/>
      <c r="D17" s="327"/>
      <c r="E17" s="327"/>
      <c r="F17" s="327"/>
    </row>
    <row r="18" spans="1:6">
      <c r="A18" s="1295" t="s">
        <v>8</v>
      </c>
      <c r="B18" s="1296">
        <v>906</v>
      </c>
      <c r="C18" s="327"/>
      <c r="D18" s="327"/>
      <c r="E18" s="327"/>
      <c r="F18" s="327"/>
    </row>
    <row r="19" spans="1:6">
      <c r="A19" s="1295" t="s">
        <v>9</v>
      </c>
      <c r="B19" s="1296">
        <v>836</v>
      </c>
      <c r="C19" s="327"/>
      <c r="D19" s="327"/>
      <c r="E19" s="327"/>
      <c r="F19" s="327"/>
    </row>
    <row r="20" spans="1:6">
      <c r="A20" s="1295" t="s">
        <v>10</v>
      </c>
      <c r="B20" s="1296">
        <v>740</v>
      </c>
      <c r="C20" s="327"/>
      <c r="D20" s="327"/>
      <c r="E20" s="327"/>
      <c r="F20" s="327"/>
    </row>
    <row r="21" spans="1:6">
      <c r="A21" s="1295" t="s">
        <v>11</v>
      </c>
      <c r="B21" s="1296">
        <v>1766</v>
      </c>
      <c r="C21" s="327"/>
      <c r="D21" s="327"/>
      <c r="E21" s="327"/>
      <c r="F21" s="327"/>
    </row>
    <row r="22" spans="1:6">
      <c r="A22" s="1295" t="s">
        <v>12</v>
      </c>
      <c r="B22" s="1296">
        <v>2638</v>
      </c>
      <c r="C22" s="327"/>
      <c r="D22" s="327"/>
      <c r="E22" s="327"/>
      <c r="F22" s="327"/>
    </row>
    <row r="23" spans="1:6">
      <c r="A23" s="1295" t="s">
        <v>13</v>
      </c>
      <c r="B23" s="1296">
        <v>49</v>
      </c>
      <c r="C23" s="327"/>
      <c r="D23" s="327"/>
      <c r="E23" s="327"/>
      <c r="F23" s="327"/>
    </row>
    <row r="24" spans="1:6">
      <c r="A24" s="1295" t="s">
        <v>14</v>
      </c>
      <c r="B24" s="1296">
        <v>0</v>
      </c>
      <c r="C24" s="327"/>
      <c r="D24" s="327"/>
      <c r="E24" s="327"/>
      <c r="F24" s="327"/>
    </row>
    <row r="25" spans="1:6">
      <c r="A25" s="1295" t="s">
        <v>15</v>
      </c>
      <c r="B25" s="1296">
        <v>342</v>
      </c>
      <c r="C25" s="327"/>
      <c r="D25" s="327"/>
      <c r="E25" s="327"/>
      <c r="F25" s="327"/>
    </row>
    <row r="26" spans="1:6">
      <c r="A26" s="1295" t="s">
        <v>16</v>
      </c>
      <c r="B26" s="1296">
        <v>72</v>
      </c>
      <c r="C26" s="327"/>
      <c r="D26" s="327"/>
      <c r="E26" s="327"/>
      <c r="F26" s="327"/>
    </row>
    <row r="27" spans="1:6">
      <c r="A27" s="1295" t="s">
        <v>17</v>
      </c>
      <c r="B27" s="1296">
        <v>6</v>
      </c>
      <c r="C27" s="327"/>
      <c r="D27" s="327"/>
      <c r="E27" s="327"/>
      <c r="F27" s="327"/>
    </row>
    <row r="28" spans="1:6" s="44" customFormat="1">
      <c r="A28" s="1297" t="s">
        <v>18</v>
      </c>
      <c r="B28" s="1298">
        <v>6063</v>
      </c>
      <c r="C28" s="333"/>
      <c r="D28" s="333"/>
      <c r="E28" s="333"/>
      <c r="F28" s="333"/>
    </row>
    <row r="29" spans="1:6">
      <c r="A29" s="1297" t="s">
        <v>961</v>
      </c>
      <c r="B29" s="1298">
        <v>240</v>
      </c>
      <c r="C29" s="333"/>
      <c r="D29" s="333"/>
      <c r="E29" s="333"/>
      <c r="F29" s="333"/>
    </row>
    <row r="30" spans="1:6">
      <c r="A30" s="1290" t="s">
        <v>962</v>
      </c>
      <c r="B30" s="1299">
        <v>86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2</v>
      </c>
      <c r="D38" s="1296">
        <v>264110.49390488601</v>
      </c>
      <c r="E38" s="1296">
        <v>5</v>
      </c>
      <c r="F38" s="1296">
        <v>12024.917075589099</v>
      </c>
    </row>
    <row r="39" spans="1:6">
      <c r="A39" s="1295" t="s">
        <v>29</v>
      </c>
      <c r="B39" s="1295" t="s">
        <v>30</v>
      </c>
      <c r="C39" s="1296">
        <v>6057</v>
      </c>
      <c r="D39" s="1296">
        <v>113660440.624944</v>
      </c>
      <c r="E39" s="1296">
        <v>9853</v>
      </c>
      <c r="F39" s="1296">
        <v>36732288.7426963</v>
      </c>
    </row>
    <row r="40" spans="1:6">
      <c r="A40" s="1295" t="s">
        <v>29</v>
      </c>
      <c r="B40" s="1295" t="s">
        <v>28</v>
      </c>
      <c r="C40" s="1296">
        <v>0</v>
      </c>
      <c r="D40" s="1296">
        <v>0</v>
      </c>
      <c r="E40" s="1296">
        <v>0</v>
      </c>
      <c r="F40" s="1296">
        <v>0</v>
      </c>
    </row>
    <row r="41" spans="1:6">
      <c r="A41" s="1295" t="s">
        <v>31</v>
      </c>
      <c r="B41" s="1295" t="s">
        <v>32</v>
      </c>
      <c r="C41" s="1296">
        <v>51</v>
      </c>
      <c r="D41" s="1296">
        <v>1481659.1984015701</v>
      </c>
      <c r="E41" s="1296">
        <v>134</v>
      </c>
      <c r="F41" s="1296">
        <v>1783519.5560099899</v>
      </c>
    </row>
    <row r="42" spans="1:6">
      <c r="A42" s="1295" t="s">
        <v>31</v>
      </c>
      <c r="B42" s="1295" t="s">
        <v>33</v>
      </c>
      <c r="C42" s="1296">
        <v>3</v>
      </c>
      <c r="D42" s="1296">
        <v>5704595.0302790701</v>
      </c>
      <c r="E42" s="1296">
        <v>6</v>
      </c>
      <c r="F42" s="1296">
        <v>53063022.434317</v>
      </c>
    </row>
    <row r="43" spans="1:6">
      <c r="A43" s="1295" t="s">
        <v>31</v>
      </c>
      <c r="B43" s="1295" t="s">
        <v>34</v>
      </c>
      <c r="C43" s="1296">
        <v>0</v>
      </c>
      <c r="D43" s="1296">
        <v>0</v>
      </c>
      <c r="E43" s="1296">
        <v>0</v>
      </c>
      <c r="F43" s="1296">
        <v>0</v>
      </c>
    </row>
    <row r="44" spans="1:6">
      <c r="A44" s="1295" t="s">
        <v>31</v>
      </c>
      <c r="B44" s="1295" t="s">
        <v>35</v>
      </c>
      <c r="C44" s="1296">
        <v>3</v>
      </c>
      <c r="D44" s="1296">
        <v>100792.867569893</v>
      </c>
      <c r="E44" s="1296">
        <v>19</v>
      </c>
      <c r="F44" s="1296">
        <v>477905.52481567999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6</v>
      </c>
      <c r="D47" s="1296">
        <v>85954.611558344201</v>
      </c>
      <c r="E47" s="1296">
        <v>6</v>
      </c>
      <c r="F47" s="1296">
        <v>31081.0907414557</v>
      </c>
    </row>
    <row r="48" spans="1:6">
      <c r="A48" s="1295" t="s">
        <v>31</v>
      </c>
      <c r="B48" s="1295" t="s">
        <v>28</v>
      </c>
      <c r="C48" s="1296">
        <v>33</v>
      </c>
      <c r="D48" s="1296">
        <v>63842850.505044803</v>
      </c>
      <c r="E48" s="1296">
        <v>41</v>
      </c>
      <c r="F48" s="1296">
        <v>86946002.485335603</v>
      </c>
    </row>
    <row r="49" spans="1:6">
      <c r="A49" s="1295" t="s">
        <v>31</v>
      </c>
      <c r="B49" s="1295" t="s">
        <v>39</v>
      </c>
      <c r="C49" s="1296">
        <v>0</v>
      </c>
      <c r="D49" s="1296">
        <v>0</v>
      </c>
      <c r="E49" s="1296">
        <v>0</v>
      </c>
      <c r="F49" s="1296">
        <v>0</v>
      </c>
    </row>
    <row r="50" spans="1:6">
      <c r="A50" s="1295" t="s">
        <v>31</v>
      </c>
      <c r="B50" s="1295" t="s">
        <v>40</v>
      </c>
      <c r="C50" s="1296">
        <v>8</v>
      </c>
      <c r="D50" s="1296">
        <v>456998.89922582498</v>
      </c>
      <c r="E50" s="1296">
        <v>15</v>
      </c>
      <c r="F50" s="1296">
        <v>726973.19313123298</v>
      </c>
    </row>
    <row r="51" spans="1:6">
      <c r="A51" s="1295" t="s">
        <v>41</v>
      </c>
      <c r="B51" s="1295" t="s">
        <v>42</v>
      </c>
      <c r="C51" s="1296">
        <v>0</v>
      </c>
      <c r="D51" s="1296">
        <v>0</v>
      </c>
      <c r="E51" s="1296">
        <v>67</v>
      </c>
      <c r="F51" s="1296">
        <v>1307849.65912342</v>
      </c>
    </row>
    <row r="52" spans="1:6">
      <c r="A52" s="1295" t="s">
        <v>41</v>
      </c>
      <c r="B52" s="1295" t="s">
        <v>28</v>
      </c>
      <c r="C52" s="1296">
        <v>8</v>
      </c>
      <c r="D52" s="1296">
        <v>18131805.0793618</v>
      </c>
      <c r="E52" s="1296">
        <v>8</v>
      </c>
      <c r="F52" s="1296">
        <v>2132282.0378703</v>
      </c>
    </row>
    <row r="53" spans="1:6">
      <c r="A53" s="1295" t="s">
        <v>43</v>
      </c>
      <c r="B53" s="1295" t="s">
        <v>44</v>
      </c>
      <c r="C53" s="1296">
        <v>131</v>
      </c>
      <c r="D53" s="1296">
        <v>4260399.5204338003</v>
      </c>
      <c r="E53" s="1296">
        <v>279</v>
      </c>
      <c r="F53" s="1296">
        <v>1480894.2944503899</v>
      </c>
    </row>
    <row r="54" spans="1:6">
      <c r="A54" s="1295" t="s">
        <v>45</v>
      </c>
      <c r="B54" s="1295" t="s">
        <v>46</v>
      </c>
      <c r="C54" s="1296">
        <v>0</v>
      </c>
      <c r="D54" s="1296">
        <v>0</v>
      </c>
      <c r="E54" s="1296">
        <v>1</v>
      </c>
      <c r="F54" s="1296">
        <v>2120504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38</v>
      </c>
      <c r="D57" s="1296">
        <v>1967171.0147335599</v>
      </c>
      <c r="E57" s="1296">
        <v>158</v>
      </c>
      <c r="F57" s="1296">
        <v>6123729.0478266804</v>
      </c>
    </row>
    <row r="58" spans="1:6">
      <c r="A58" s="1295" t="s">
        <v>48</v>
      </c>
      <c r="B58" s="1295" t="s">
        <v>50</v>
      </c>
      <c r="C58" s="1296">
        <v>31</v>
      </c>
      <c r="D58" s="1296">
        <v>989286.10673328396</v>
      </c>
      <c r="E58" s="1296">
        <v>46</v>
      </c>
      <c r="F58" s="1296">
        <v>436036.14962169999</v>
      </c>
    </row>
    <row r="59" spans="1:6">
      <c r="A59" s="1295" t="s">
        <v>48</v>
      </c>
      <c r="B59" s="1295" t="s">
        <v>51</v>
      </c>
      <c r="C59" s="1296">
        <v>90</v>
      </c>
      <c r="D59" s="1296">
        <v>7186121.6136189196</v>
      </c>
      <c r="E59" s="1296">
        <v>212</v>
      </c>
      <c r="F59" s="1296">
        <v>12417802.661453201</v>
      </c>
    </row>
    <row r="60" spans="1:6">
      <c r="A60" s="1295" t="s">
        <v>48</v>
      </c>
      <c r="B60" s="1295" t="s">
        <v>52</v>
      </c>
      <c r="C60" s="1296">
        <v>79</v>
      </c>
      <c r="D60" s="1296">
        <v>5198759.9154091198</v>
      </c>
      <c r="E60" s="1296">
        <v>108</v>
      </c>
      <c r="F60" s="1296">
        <v>4351954.7028613202</v>
      </c>
    </row>
    <row r="61" spans="1:6">
      <c r="A61" s="1295" t="s">
        <v>48</v>
      </c>
      <c r="B61" s="1295" t="s">
        <v>53</v>
      </c>
      <c r="C61" s="1296">
        <v>196</v>
      </c>
      <c r="D61" s="1296">
        <v>10804875.7656393</v>
      </c>
      <c r="E61" s="1296">
        <v>311</v>
      </c>
      <c r="F61" s="1296">
        <v>8283572.0652625896</v>
      </c>
    </row>
    <row r="62" spans="1:6">
      <c r="A62" s="1295" t="s">
        <v>48</v>
      </c>
      <c r="B62" s="1295" t="s">
        <v>54</v>
      </c>
      <c r="C62" s="1296">
        <v>19</v>
      </c>
      <c r="D62" s="1296">
        <v>4132177.0282667498</v>
      </c>
      <c r="E62" s="1296">
        <v>20</v>
      </c>
      <c r="F62" s="1296">
        <v>778637.15786499996</v>
      </c>
    </row>
    <row r="63" spans="1:6">
      <c r="A63" s="1295" t="s">
        <v>48</v>
      </c>
      <c r="B63" s="1295" t="s">
        <v>28</v>
      </c>
      <c r="C63" s="1296">
        <v>96</v>
      </c>
      <c r="D63" s="1296">
        <v>8184922.4884496201</v>
      </c>
      <c r="E63" s="1296">
        <v>110</v>
      </c>
      <c r="F63" s="1296">
        <v>7369777.7419424001</v>
      </c>
    </row>
    <row r="64" spans="1:6">
      <c r="A64" s="1295" t="s">
        <v>55</v>
      </c>
      <c r="B64" s="1295" t="s">
        <v>56</v>
      </c>
      <c r="C64" s="1296">
        <v>0</v>
      </c>
      <c r="D64" s="1296">
        <v>0</v>
      </c>
      <c r="E64" s="1296">
        <v>0</v>
      </c>
      <c r="F64" s="1296">
        <v>0</v>
      </c>
    </row>
    <row r="65" spans="1:6">
      <c r="A65" s="1295" t="s">
        <v>55</v>
      </c>
      <c r="B65" s="1295" t="s">
        <v>28</v>
      </c>
      <c r="C65" s="1296">
        <v>1</v>
      </c>
      <c r="D65" s="1296">
        <v>47554.714700483899</v>
      </c>
      <c r="E65" s="1296">
        <v>4</v>
      </c>
      <c r="F65" s="1296">
        <v>13856.9221944196</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5</v>
      </c>
      <c r="D68" s="1299">
        <v>415722.38912327902</v>
      </c>
      <c r="E68" s="1299">
        <v>17</v>
      </c>
      <c r="F68" s="1299">
        <v>452550.50413778197</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114183159</v>
      </c>
      <c r="E73" s="447"/>
      <c r="F73" s="327"/>
    </row>
    <row r="74" spans="1:6">
      <c r="A74" s="1295" t="s">
        <v>63</v>
      </c>
      <c r="B74" s="1295" t="s">
        <v>755</v>
      </c>
      <c r="C74" s="1309" t="s">
        <v>749</v>
      </c>
      <c r="D74" s="1310">
        <v>6744988.0891361451</v>
      </c>
      <c r="E74" s="447"/>
      <c r="F74" s="327"/>
    </row>
    <row r="75" spans="1:6">
      <c r="A75" s="1295" t="s">
        <v>64</v>
      </c>
      <c r="B75" s="1295" t="s">
        <v>754</v>
      </c>
      <c r="C75" s="1309" t="s">
        <v>750</v>
      </c>
      <c r="D75" s="1310">
        <v>21266182</v>
      </c>
      <c r="E75" s="447"/>
      <c r="F75" s="327"/>
    </row>
    <row r="76" spans="1:6">
      <c r="A76" s="1295" t="s">
        <v>64</v>
      </c>
      <c r="B76" s="1295" t="s">
        <v>755</v>
      </c>
      <c r="C76" s="1309" t="s">
        <v>751</v>
      </c>
      <c r="D76" s="1310">
        <v>274283.08913614496</v>
      </c>
      <c r="E76" s="447"/>
      <c r="F76" s="327"/>
    </row>
    <row r="77" spans="1:6">
      <c r="A77" s="1295" t="s">
        <v>65</v>
      </c>
      <c r="B77" s="1295" t="s">
        <v>754</v>
      </c>
      <c r="C77" s="1309" t="s">
        <v>752</v>
      </c>
      <c r="D77" s="1310">
        <v>84069046</v>
      </c>
      <c r="E77" s="447"/>
      <c r="F77" s="327"/>
    </row>
    <row r="78" spans="1:6">
      <c r="A78" s="1290" t="s">
        <v>65</v>
      </c>
      <c r="B78" s="1290" t="s">
        <v>755</v>
      </c>
      <c r="C78" s="1290" t="s">
        <v>753</v>
      </c>
      <c r="D78" s="1311">
        <v>13441108</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543803.82172771008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5027.0811378525514</v>
      </c>
      <c r="C91" s="327"/>
      <c r="D91" s="327"/>
      <c r="E91" s="327"/>
      <c r="F91" s="327"/>
    </row>
    <row r="92" spans="1:6">
      <c r="A92" s="1290" t="s">
        <v>68</v>
      </c>
      <c r="B92" s="1291">
        <v>6478.1285212150615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3611</v>
      </c>
      <c r="C97" s="327"/>
      <c r="D97" s="327"/>
      <c r="E97" s="327"/>
      <c r="F97" s="327"/>
    </row>
    <row r="98" spans="1:6">
      <c r="A98" s="1295" t="s">
        <v>71</v>
      </c>
      <c r="B98" s="1296">
        <v>8</v>
      </c>
      <c r="C98" s="327"/>
      <c r="D98" s="327"/>
      <c r="E98" s="327"/>
      <c r="F98" s="327"/>
    </row>
    <row r="99" spans="1:6">
      <c r="A99" s="1295" t="s">
        <v>72</v>
      </c>
      <c r="B99" s="1296">
        <v>95</v>
      </c>
      <c r="C99" s="327"/>
      <c r="D99" s="327"/>
      <c r="E99" s="327"/>
      <c r="F99" s="327"/>
    </row>
    <row r="100" spans="1:6">
      <c r="A100" s="1295" t="s">
        <v>73</v>
      </c>
      <c r="B100" s="1296">
        <v>255</v>
      </c>
      <c r="C100" s="327"/>
      <c r="D100" s="327"/>
      <c r="E100" s="327"/>
      <c r="F100" s="327"/>
    </row>
    <row r="101" spans="1:6">
      <c r="A101" s="1295" t="s">
        <v>74</v>
      </c>
      <c r="B101" s="1296">
        <v>106</v>
      </c>
      <c r="C101" s="327"/>
      <c r="D101" s="327"/>
      <c r="E101" s="327"/>
      <c r="F101" s="327"/>
    </row>
    <row r="102" spans="1:6">
      <c r="A102" s="1295" t="s">
        <v>75</v>
      </c>
      <c r="B102" s="1296">
        <v>81</v>
      </c>
      <c r="C102" s="327"/>
      <c r="D102" s="327"/>
      <c r="E102" s="327"/>
      <c r="F102" s="327"/>
    </row>
    <row r="103" spans="1:6">
      <c r="A103" s="1295" t="s">
        <v>76</v>
      </c>
      <c r="B103" s="1296">
        <v>196</v>
      </c>
      <c r="C103" s="327"/>
      <c r="D103" s="327"/>
      <c r="E103" s="327"/>
      <c r="F103" s="327"/>
    </row>
    <row r="104" spans="1:6">
      <c r="A104" s="1295" t="s">
        <v>77</v>
      </c>
      <c r="B104" s="1296">
        <v>3988</v>
      </c>
      <c r="C104" s="327"/>
      <c r="D104" s="327"/>
      <c r="E104" s="327"/>
      <c r="F104" s="327"/>
    </row>
    <row r="105" spans="1:6">
      <c r="A105" s="1290"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3</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28</v>
      </c>
      <c r="C123" s="1296">
        <v>15</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79</v>
      </c>
      <c r="C129" s="327"/>
      <c r="D129" s="327"/>
      <c r="E129" s="327"/>
      <c r="F129" s="327"/>
    </row>
    <row r="130" spans="1:6">
      <c r="A130" s="1295" t="s">
        <v>290</v>
      </c>
      <c r="B130" s="1296">
        <v>4</v>
      </c>
      <c r="C130" s="327"/>
      <c r="D130" s="327"/>
      <c r="E130" s="327"/>
      <c r="F130" s="327"/>
    </row>
    <row r="131" spans="1:6">
      <c r="A131" s="1295" t="s">
        <v>291</v>
      </c>
      <c r="B131" s="1296">
        <v>0</v>
      </c>
      <c r="C131" s="327"/>
      <c r="D131" s="327"/>
      <c r="E131" s="327"/>
      <c r="F131" s="327"/>
    </row>
    <row r="132" spans="1:6">
      <c r="A132" s="1290" t="s">
        <v>292</v>
      </c>
      <c r="B132" s="1291">
        <v>21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232975.56513184181</v>
      </c>
      <c r="C3" s="44" t="s">
        <v>169</v>
      </c>
      <c r="D3" s="44"/>
      <c r="E3" s="157"/>
      <c r="F3" s="44"/>
      <c r="G3" s="44"/>
      <c r="H3" s="44"/>
      <c r="I3" s="44"/>
      <c r="J3" s="44"/>
      <c r="K3" s="97"/>
    </row>
    <row r="4" spans="1:11">
      <c r="A4" s="354" t="s">
        <v>170</v>
      </c>
      <c r="B4" s="50">
        <f>IF(ISERROR('SEAP template'!B78+'SEAP template'!C78),0,'SEAP template'!B78+'SEAP template'!C78)</f>
        <v>18131.459659067612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1256.024117647059</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0.20919177253438545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1794.3201680672273</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7550.3571428571431</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2120.5039999999999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2120.5039999999999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0.20919177253438545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443.59199042625448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36732.288742696299</v>
      </c>
      <c r="C5" s="18">
        <f>IF(ISERROR('Eigen informatie GS &amp; warmtenet'!B57),0,'Eigen informatie GS &amp; warmtenet'!B57)</f>
        <v>0</v>
      </c>
      <c r="D5" s="31">
        <f>(SUM(HH_hh_gas_kWh,HH_rest_gas_kWh)/1000)*0.902</f>
        <v>102521.7174436995</v>
      </c>
      <c r="E5" s="18">
        <f>B32*B41</f>
        <v>2163.6265879324474</v>
      </c>
      <c r="F5" s="18">
        <f>B36*B45</f>
        <v>65962.693017941434</v>
      </c>
      <c r="G5" s="19"/>
      <c r="H5" s="18"/>
      <c r="I5" s="18"/>
      <c r="J5" s="18">
        <f>B35*B44+C35*C44</f>
        <v>1196.8700803849688</v>
      </c>
      <c r="K5" s="18"/>
      <c r="L5" s="18"/>
      <c r="M5" s="18"/>
      <c r="N5" s="18">
        <f>B34*B43+C34*C43</f>
        <v>14353.160285859529</v>
      </c>
      <c r="O5" s="18">
        <f>B52*B53*B54</f>
        <v>146.95333333333335</v>
      </c>
      <c r="P5" s="18">
        <f>B60*B61*B62/1000-B60*B61*B62/1000/B63</f>
        <v>953.33333333333326</v>
      </c>
    </row>
    <row r="6" spans="1:16">
      <c r="A6" s="17" t="s">
        <v>628</v>
      </c>
      <c r="B6" s="768">
        <f>kWh_PV_kleiner_dan_10kW</f>
        <v>5027.0811378525514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41759.369880548853</v>
      </c>
      <c r="C8" s="22">
        <f>C5</f>
        <v>0</v>
      </c>
      <c r="D8" s="22">
        <f>D5</f>
        <v>102521.7174436995</v>
      </c>
      <c r="E8" s="22">
        <f>E5</f>
        <v>2163.6265879324474</v>
      </c>
      <c r="F8" s="22">
        <f>F5</f>
        <v>65962.693017941434</v>
      </c>
      <c r="G8" s="22"/>
      <c r="H8" s="22"/>
      <c r="I8" s="22"/>
      <c r="J8" s="22">
        <f>J5</f>
        <v>1196.8700803849688</v>
      </c>
      <c r="K8" s="22"/>
      <c r="L8" s="22">
        <f>L5</f>
        <v>0</v>
      </c>
      <c r="M8" s="22">
        <f>M5</f>
        <v>0</v>
      </c>
      <c r="N8" s="22">
        <f>N5</f>
        <v>14353.160285859529</v>
      </c>
      <c r="O8" s="22">
        <f>O5</f>
        <v>146.95333333333335</v>
      </c>
      <c r="P8" s="22">
        <f>P5</f>
        <v>953.33333333333326</v>
      </c>
    </row>
    <row r="9" spans="1:16">
      <c r="B9" s="20"/>
      <c r="C9" s="20"/>
      <c r="D9" s="258"/>
      <c r="E9" s="20"/>
      <c r="F9" s="20"/>
      <c r="G9" s="20"/>
      <c r="H9" s="20"/>
      <c r="I9" s="20"/>
      <c r="J9" s="20"/>
      <c r="K9" s="20"/>
      <c r="L9" s="20"/>
      <c r="M9" s="20"/>
      <c r="N9" s="20"/>
      <c r="O9" s="20"/>
      <c r="P9" s="20"/>
    </row>
    <row r="10" spans="1:16">
      <c r="A10" s="25" t="s">
        <v>213</v>
      </c>
      <c r="B10" s="26">
        <f ca="1">'EF ele_warmte'!B12</f>
        <v>0.20919177253438545</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8735.7166052310422</v>
      </c>
      <c r="C12" s="24">
        <f ca="1">C10*C8</f>
        <v>0</v>
      </c>
      <c r="D12" s="24">
        <f>D8*D10</f>
        <v>20709.386923627299</v>
      </c>
      <c r="E12" s="24">
        <f>E10*E8</f>
        <v>491.14323546066555</v>
      </c>
      <c r="F12" s="24">
        <f>F10*F8</f>
        <v>17612.039035790363</v>
      </c>
      <c r="G12" s="24"/>
      <c r="H12" s="24"/>
      <c r="I12" s="24"/>
      <c r="J12" s="24">
        <f>J10*J8</f>
        <v>423.69200845627893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9964</v>
      </c>
      <c r="C26" s="37"/>
      <c r="D26" s="228"/>
    </row>
    <row r="27" spans="1:5" s="16" customFormat="1">
      <c r="A27" s="230" t="s">
        <v>654</v>
      </c>
      <c r="B27" s="38">
        <f>SUM(HH_hh_gas_aantal,HH_rest_gas_aantal)</f>
        <v>6057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5754.15</v>
      </c>
      <c r="C31" s="35" t="s">
        <v>110</v>
      </c>
      <c r="D31" s="174"/>
    </row>
    <row r="32" spans="1:5">
      <c r="A32" s="171" t="s">
        <v>72</v>
      </c>
      <c r="B32" s="34">
        <f>IF((B21*($B$26-($B$27-0.05*$B$27)-$B$60))&lt;0,0,B21*($B$26-($B$27-0.05*$B$27)-$B$60))</f>
        <v>102.22968886482876</v>
      </c>
      <c r="C32" s="35" t="s">
        <v>110</v>
      </c>
      <c r="D32" s="174"/>
    </row>
    <row r="33" spans="1:6">
      <c r="A33" s="171" t="s">
        <v>73</v>
      </c>
      <c r="B33" s="34">
        <f>IF((B22*($B$26-($B$27-0.05*$B$27)-$B$60))&lt;0,0,B22*($B$26-($B$27-0.05*$B$27)-$B$60))</f>
        <v>688.1257050781021</v>
      </c>
      <c r="C33" s="35" t="s">
        <v>110</v>
      </c>
      <c r="D33" s="174"/>
    </row>
    <row r="34" spans="1:6">
      <c r="A34" s="171" t="s">
        <v>74</v>
      </c>
      <c r="B34" s="34">
        <f>IF((B24*($B$26-($B$27-0.05*$B$27)-$B$60))&lt;0,0,B24*($B$26-($B$27-0.05*$B$27)-$B$60))</f>
        <v>174.52318318342262</v>
      </c>
      <c r="C34" s="34">
        <f>B26*C24</f>
        <v>2037.6611928946359</v>
      </c>
      <c r="D34" s="233"/>
    </row>
    <row r="35" spans="1:6">
      <c r="A35" s="171" t="s">
        <v>76</v>
      </c>
      <c r="B35" s="34">
        <f>IF((B19*($B$26-($B$27-0.05*$B$27)-$B$60))&lt;0,0,B19*($B$26-($B$27-0.05*$B$27)-$B$60))</f>
        <v>64.882196564519418</v>
      </c>
      <c r="C35" s="34">
        <f>B35/2</f>
        <v>32.441098282259709</v>
      </c>
      <c r="D35" s="233"/>
    </row>
    <row r="36" spans="1:6">
      <c r="A36" s="171" t="s">
        <v>77</v>
      </c>
      <c r="B36" s="34">
        <f>IF((B18*($B$26-($B$27-0.05*$B$27)-$B$60))&lt;0,0,B18*($B$26-($B$27-0.05*$B$27)-$B$60))</f>
        <v>3130.0892263091264</v>
      </c>
      <c r="C36" s="35" t="s">
        <v>110</v>
      </c>
      <c r="D36" s="174"/>
    </row>
    <row r="37" spans="1:6">
      <c r="A37" s="171" t="s">
        <v>78</v>
      </c>
      <c r="B37" s="34">
        <f>B60</f>
        <v>50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94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50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39761.509526832895</v>
      </c>
      <c r="C5" s="18">
        <f>IF(ISERROR('Eigen informatie GS &amp; warmtenet'!B58),0,'Eigen informatie GS &amp; warmtenet'!B58)</f>
        <v>0</v>
      </c>
      <c r="D5" s="31">
        <f>SUM(D6:D12)</f>
        <v>34693.9091674312</v>
      </c>
      <c r="E5" s="18">
        <f>SUM(E6:E12)</f>
        <v>420.9890218044232</v>
      </c>
      <c r="F5" s="18">
        <f>SUM(F6:F12)</f>
        <v>8212.5378423874172</v>
      </c>
      <c r="G5" s="19"/>
      <c r="H5" s="18"/>
      <c r="I5" s="18"/>
      <c r="J5" s="18">
        <f>SUM(J6:J12)</f>
        <v>0</v>
      </c>
      <c r="K5" s="18"/>
      <c r="L5" s="18"/>
      <c r="M5" s="18"/>
      <c r="N5" s="18">
        <f>SUM(N6:N12)</f>
        <v>4087.490204917854</v>
      </c>
      <c r="O5" s="18">
        <f>B38*B39*B40</f>
        <v>6.2533333333333339</v>
      </c>
      <c r="P5" s="18">
        <f>B46*B47*B48/1000-B46*B47*B48/1000/B49</f>
        <v>0</v>
      </c>
      <c r="R5" s="33"/>
    </row>
    <row r="6" spans="1:18">
      <c r="A6" s="33" t="s">
        <v>53</v>
      </c>
      <c r="B6" s="38">
        <f>B26</f>
        <v>8283.5720652625896</v>
      </c>
      <c r="C6" s="34"/>
      <c r="D6" s="38">
        <f>IF(ISERROR(TER_kantoor_gas_kWh/1000),0,TER_kantoor_gas_kWh/1000)*0.902</f>
        <v>9745.9979406066486</v>
      </c>
      <c r="E6" s="34">
        <f>$C$26*'E Balans VL '!I12/100/3.6*1000000</f>
        <v>13.595020639096818</v>
      </c>
      <c r="F6" s="34">
        <f>$C$26*('E Balans VL '!L12+'E Balans VL '!N12)/100/3.6*1000000</f>
        <v>976.43824462782072</v>
      </c>
      <c r="G6" s="35"/>
      <c r="H6" s="34"/>
      <c r="I6" s="34"/>
      <c r="J6" s="34">
        <f>$C$26*('E Balans VL '!D12+'E Balans VL '!E12)/100/3.6*1000000</f>
        <v>0</v>
      </c>
      <c r="K6" s="34"/>
      <c r="L6" s="34"/>
      <c r="M6" s="34"/>
      <c r="N6" s="34">
        <f>$C$26*'E Balans VL '!Y12/100/3.6*1000000</f>
        <v>1.6736565098612532</v>
      </c>
      <c r="O6" s="34"/>
      <c r="P6" s="34"/>
      <c r="R6" s="33"/>
    </row>
    <row r="7" spans="1:18">
      <c r="A7" s="33" t="s">
        <v>52</v>
      </c>
      <c r="B7" s="38">
        <f t="shared" ref="B7:B12" si="0">B27</f>
        <v>4351.9547028613206</v>
      </c>
      <c r="C7" s="34"/>
      <c r="D7" s="38">
        <f>IF(ISERROR(TER_horeca_gas_kWh/1000),0,TER_horeca_gas_kWh/1000)*0.902</f>
        <v>4689.2814436990257</v>
      </c>
      <c r="E7" s="34">
        <f>$C$27*'E Balans VL '!I9/100/3.6*1000000</f>
        <v>225.83495766038141</v>
      </c>
      <c r="F7" s="34">
        <f>$C$27*('E Balans VL '!L9+'E Balans VL '!N9)/100/3.6*1000000</f>
        <v>993.1192209869364</v>
      </c>
      <c r="G7" s="35"/>
      <c r="H7" s="34"/>
      <c r="I7" s="34"/>
      <c r="J7" s="34">
        <f>$C$27*('E Balans VL '!D9+'E Balans VL '!E9)/100/3.6*1000000</f>
        <v>0</v>
      </c>
      <c r="K7" s="34"/>
      <c r="L7" s="34"/>
      <c r="M7" s="34"/>
      <c r="N7" s="34">
        <f>$C$27*'E Balans VL '!Y9/100/3.6*1000000</f>
        <v>0.45956442225190375</v>
      </c>
      <c r="O7" s="34"/>
      <c r="P7" s="34"/>
      <c r="R7" s="33"/>
    </row>
    <row r="8" spans="1:18">
      <c r="A8" s="6" t="s">
        <v>51</v>
      </c>
      <c r="B8" s="38">
        <f t="shared" si="0"/>
        <v>12417.802661453201</v>
      </c>
      <c r="C8" s="34"/>
      <c r="D8" s="38">
        <f>IF(ISERROR(TER_handel_gas_kWh/1000),0,TER_handel_gas_kWh/1000)*0.902</f>
        <v>6481.8816954842659</v>
      </c>
      <c r="E8" s="34">
        <f>$C$28*'E Balans VL '!I13/100/3.6*1000000</f>
        <v>66.871393277058075</v>
      </c>
      <c r="F8" s="34">
        <f>$C$28*('E Balans VL '!L13+'E Balans VL '!N13)/100/3.6*1000000</f>
        <v>2532.3589865286222</v>
      </c>
      <c r="G8" s="35"/>
      <c r="H8" s="34"/>
      <c r="I8" s="34"/>
      <c r="J8" s="34">
        <f>$C$28*('E Balans VL '!D13+'E Balans VL '!E13)/100/3.6*1000000</f>
        <v>0</v>
      </c>
      <c r="K8" s="34"/>
      <c r="L8" s="34"/>
      <c r="M8" s="34"/>
      <c r="N8" s="34">
        <f>$C$28*'E Balans VL '!Y13/100/3.6*1000000</f>
        <v>61.747174981701846</v>
      </c>
      <c r="O8" s="34"/>
      <c r="P8" s="34"/>
      <c r="R8" s="33"/>
    </row>
    <row r="9" spans="1:18">
      <c r="A9" s="33" t="s">
        <v>50</v>
      </c>
      <c r="B9" s="38">
        <f t="shared" si="0"/>
        <v>436.03614962170002</v>
      </c>
      <c r="C9" s="34"/>
      <c r="D9" s="38">
        <f>IF(ISERROR(TER_gezond_gas_kWh/1000),0,TER_gezond_gas_kWh/1000)*0.902</f>
        <v>892.33606827342214</v>
      </c>
      <c r="E9" s="34">
        <f>$C$29*'E Balans VL '!I10/100/3.6*1000000</f>
        <v>0.43211678285767657</v>
      </c>
      <c r="F9" s="34">
        <f>$C$29*('E Balans VL '!L10+'E Balans VL '!N10)/100/3.6*1000000</f>
        <v>151.29197565889027</v>
      </c>
      <c r="G9" s="35"/>
      <c r="H9" s="34"/>
      <c r="I9" s="34"/>
      <c r="J9" s="34">
        <f>$C$29*('E Balans VL '!D10+'E Balans VL '!E10)/100/3.6*1000000</f>
        <v>0</v>
      </c>
      <c r="K9" s="34"/>
      <c r="L9" s="34"/>
      <c r="M9" s="34"/>
      <c r="N9" s="34">
        <f>$C$29*'E Balans VL '!Y10/100/3.6*1000000</f>
        <v>3.7572857276596454</v>
      </c>
      <c r="O9" s="34"/>
      <c r="P9" s="34"/>
      <c r="R9" s="33"/>
    </row>
    <row r="10" spans="1:18">
      <c r="A10" s="33" t="s">
        <v>49</v>
      </c>
      <c r="B10" s="38">
        <f t="shared" si="0"/>
        <v>6123.7290478266805</v>
      </c>
      <c r="C10" s="34"/>
      <c r="D10" s="38">
        <f>IF(ISERROR(TER_ander_gas_kWh/1000),0,TER_ander_gas_kWh/1000)*0.902</f>
        <v>1774.3882552896712</v>
      </c>
      <c r="E10" s="34">
        <f>$C$30*'E Balans VL '!I14/100/3.6*1000000</f>
        <v>50.098223842535909</v>
      </c>
      <c r="F10" s="34">
        <f>$C$30*('E Balans VL '!L14+'E Balans VL '!N14)/100/3.6*1000000</f>
        <v>1790.3290662495474</v>
      </c>
      <c r="G10" s="35"/>
      <c r="H10" s="34"/>
      <c r="I10" s="34"/>
      <c r="J10" s="34">
        <f>$C$30*('E Balans VL '!D14+'E Balans VL '!E14)/100/3.6*1000000</f>
        <v>0</v>
      </c>
      <c r="K10" s="34"/>
      <c r="L10" s="34"/>
      <c r="M10" s="34"/>
      <c r="N10" s="34">
        <f>$C$30*'E Balans VL '!Y14/100/3.6*1000000</f>
        <v>3532.588159453549</v>
      </c>
      <c r="O10" s="34"/>
      <c r="P10" s="34"/>
      <c r="R10" s="33"/>
    </row>
    <row r="11" spans="1:18">
      <c r="A11" s="33" t="s">
        <v>54</v>
      </c>
      <c r="B11" s="38">
        <f t="shared" si="0"/>
        <v>778.63715786499995</v>
      </c>
      <c r="C11" s="34"/>
      <c r="D11" s="38">
        <f>IF(ISERROR(TER_onderwijs_gas_kWh/1000),0,TER_onderwijs_gas_kWh/1000)*0.902</f>
        <v>3727.2236794966079</v>
      </c>
      <c r="E11" s="34">
        <f>$C$31*'E Balans VL '!I11/100/3.6*1000000</f>
        <v>0.47991909014449435</v>
      </c>
      <c r="F11" s="34">
        <f>$C$31*('E Balans VL '!L11+'E Balans VL '!N11)/100/3.6*1000000</f>
        <v>301.03373500189684</v>
      </c>
      <c r="G11" s="35"/>
      <c r="H11" s="34"/>
      <c r="I11" s="34"/>
      <c r="J11" s="34">
        <f>$C$31*('E Balans VL '!D11+'E Balans VL '!E11)/100/3.6*1000000</f>
        <v>0</v>
      </c>
      <c r="K11" s="34"/>
      <c r="L11" s="34"/>
      <c r="M11" s="34"/>
      <c r="N11" s="34">
        <f>$C$31*'E Balans VL '!Y11/100/3.6*1000000</f>
        <v>2.5327398161545811</v>
      </c>
      <c r="O11" s="34"/>
      <c r="P11" s="34"/>
      <c r="R11" s="33"/>
    </row>
    <row r="12" spans="1:18">
      <c r="A12" s="33" t="s">
        <v>255</v>
      </c>
      <c r="B12" s="38">
        <f t="shared" si="0"/>
        <v>7369.7777419424001</v>
      </c>
      <c r="C12" s="34"/>
      <c r="D12" s="38">
        <f>IF(ISERROR(TER_rest_gas_kWh/1000),0,TER_rest_gas_kWh/1000)*0.902</f>
        <v>7382.8000845815568</v>
      </c>
      <c r="E12" s="34">
        <f>$C$32*'E Balans VL '!I8/100/3.6*1000000</f>
        <v>63.677390512348772</v>
      </c>
      <c r="F12" s="34">
        <f>$C$32*('E Balans VL '!L8+'E Balans VL '!N8)/100/3.6*1000000</f>
        <v>1467.9666133337039</v>
      </c>
      <c r="G12" s="35"/>
      <c r="H12" s="34"/>
      <c r="I12" s="34"/>
      <c r="J12" s="34">
        <f>$C$32*('E Balans VL '!D8+'E Balans VL '!E8)/100/3.6*1000000</f>
        <v>0</v>
      </c>
      <c r="K12" s="34"/>
      <c r="L12" s="34"/>
      <c r="M12" s="34"/>
      <c r="N12" s="34">
        <f>$C$32*'E Balans VL '!Y8/100/3.6*1000000</f>
        <v>484.73162400667604</v>
      </c>
      <c r="O12" s="34"/>
      <c r="P12" s="34"/>
      <c r="R12" s="33"/>
    </row>
    <row r="13" spans="1:18">
      <c r="A13" s="17" t="s">
        <v>495</v>
      </c>
      <c r="B13" s="246">
        <f ca="1">'lokale energieproductie'!N39+'lokale energieproductie'!N32</f>
        <v>1365.75</v>
      </c>
      <c r="C13" s="246">
        <f ca="1">'lokale energieproductie'!O39+'lokale energieproductie'!O32</f>
        <v>35.357142857142861</v>
      </c>
      <c r="D13" s="305">
        <f ca="1">('lokale energieproductie'!P32+'lokale energieproductie'!P39)*(-1)</f>
        <v>-70.714285714285722</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-3831.4285714285716</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41127.259526832895</v>
      </c>
      <c r="C16" s="22">
        <f t="shared" ca="1" si="1"/>
        <v>35.357142857142861</v>
      </c>
      <c r="D16" s="22">
        <f t="shared" ca="1" si="1"/>
        <v>34623.194881716918</v>
      </c>
      <c r="E16" s="22">
        <f t="shared" si="1"/>
        <v>420.9890218044232</v>
      </c>
      <c r="F16" s="22">
        <f t="shared" ca="1" si="1"/>
        <v>8212.5378423874172</v>
      </c>
      <c r="G16" s="22">
        <f t="shared" si="1"/>
        <v>0</v>
      </c>
      <c r="H16" s="22">
        <f t="shared" si="1"/>
        <v>0</v>
      </c>
      <c r="I16" s="22">
        <f t="shared" si="1"/>
        <v>0</v>
      </c>
      <c r="J16" s="22">
        <f t="shared" si="1"/>
        <v>0</v>
      </c>
      <c r="K16" s="22">
        <f t="shared" si="1"/>
        <v>0</v>
      </c>
      <c r="L16" s="22">
        <f t="shared" ca="1" si="1"/>
        <v>0</v>
      </c>
      <c r="M16" s="22">
        <f t="shared" si="1"/>
        <v>0</v>
      </c>
      <c r="N16" s="22">
        <f t="shared" ca="1" si="1"/>
        <v>256.06163348928249</v>
      </c>
      <c r="O16" s="22">
        <f>O5</f>
        <v>6.2533333333333339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0.20919177253438545</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8603.4843198998642</v>
      </c>
      <c r="C20" s="24">
        <f t="shared" ref="C20:P20" ca="1" si="2">C16*C18</f>
        <v>8.4025210084033635</v>
      </c>
      <c r="D20" s="24">
        <f t="shared" ca="1" si="2"/>
        <v>6993.8853661068179</v>
      </c>
      <c r="E20" s="24">
        <f t="shared" si="2"/>
        <v>95.564507949604064</v>
      </c>
      <c r="F20" s="24">
        <f t="shared" ca="1" si="2"/>
        <v>2192.7476039174403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8283.5720652625896</v>
      </c>
      <c r="C26" s="40">
        <f>IF(ISERROR(B26*3.6/1000000/'E Balans VL '!Z12*100),0,B26*3.6/1000000/'E Balans VL '!Z12*100)</f>
        <v>0.17601996598014932</v>
      </c>
      <c r="D26" s="236" t="s">
        <v>691</v>
      </c>
      <c r="F26" s="6"/>
    </row>
    <row r="27" spans="1:18">
      <c r="A27" s="231" t="s">
        <v>52</v>
      </c>
      <c r="B27" s="34">
        <f>IF(ISERROR(TER_horeca_ele_kWh/1000),0,TER_horeca_ele_kWh/1000)</f>
        <v>4351.9547028613206</v>
      </c>
      <c r="C27" s="40">
        <f>IF(ISERROR(B27*3.6/1000000/'E Balans VL '!Z9*100),0,B27*3.6/1000000/'E Balans VL '!Z9*100)</f>
        <v>0.34253248863495933</v>
      </c>
      <c r="D27" s="236" t="s">
        <v>691</v>
      </c>
      <c r="F27" s="6"/>
    </row>
    <row r="28" spans="1:18">
      <c r="A28" s="171" t="s">
        <v>51</v>
      </c>
      <c r="B28" s="34">
        <f>IF(ISERROR(TER_handel_ele_kWh/1000),0,TER_handel_ele_kWh/1000)</f>
        <v>12417.802661453201</v>
      </c>
      <c r="C28" s="40">
        <f>IF(ISERROR(B28*3.6/1000000/'E Balans VL '!Z13*100),0,B28*3.6/1000000/'E Balans VL '!Z13*100)</f>
        <v>0.34782929829291648</v>
      </c>
      <c r="D28" s="236" t="s">
        <v>691</v>
      </c>
      <c r="F28" s="6"/>
    </row>
    <row r="29" spans="1:18">
      <c r="A29" s="231" t="s">
        <v>50</v>
      </c>
      <c r="B29" s="34">
        <f>IF(ISERROR(TER_gezond_ele_kWh/1000),0,TER_gezond_ele_kWh/1000)</f>
        <v>436.03614962170002</v>
      </c>
      <c r="C29" s="40">
        <f>IF(ISERROR(B29*3.6/1000000/'E Balans VL '!Z10*100),0,B29*3.6/1000000/'E Balans VL '!Z10*100)</f>
        <v>5.5782208738753995E-2</v>
      </c>
      <c r="D29" s="236" t="s">
        <v>691</v>
      </c>
      <c r="F29" s="6"/>
    </row>
    <row r="30" spans="1:18">
      <c r="A30" s="231" t="s">
        <v>49</v>
      </c>
      <c r="B30" s="34">
        <f>IF(ISERROR(TER_ander_ele_kWh/1000),0,TER_ander_ele_kWh/1000)</f>
        <v>6123.7290478266805</v>
      </c>
      <c r="C30" s="40">
        <f>IF(ISERROR(B30*3.6/1000000/'E Balans VL '!Z14*100),0,B30*3.6/1000000/'E Balans VL '!Z14*100)</f>
        <v>0.45800333333509319</v>
      </c>
      <c r="D30" s="236" t="s">
        <v>691</v>
      </c>
      <c r="F30" s="6"/>
    </row>
    <row r="31" spans="1:18">
      <c r="A31" s="231" t="s">
        <v>54</v>
      </c>
      <c r="B31" s="34">
        <f>IF(ISERROR(TER_onderwijs_ele_kWh/1000),0,TER_onderwijs_ele_kWh/1000)</f>
        <v>778.63715786499995</v>
      </c>
      <c r="C31" s="40">
        <f>IF(ISERROR(B31*3.6/1000000/'E Balans VL '!Z11*100),0,B31*3.6/1000000/'E Balans VL '!Z11*100)</f>
        <v>0.16441024447611693</v>
      </c>
      <c r="D31" s="236" t="s">
        <v>691</v>
      </c>
    </row>
    <row r="32" spans="1:18">
      <c r="A32" s="231" t="s">
        <v>255</v>
      </c>
      <c r="B32" s="34">
        <f>IF(ISERROR(TER_rest_ele_kWh/1000),0,TER_rest_ele_kWh/1000)</f>
        <v>7369.7777419424001</v>
      </c>
      <c r="C32" s="40">
        <f>IF(ISERROR(B32*3.6/1000000/'E Balans VL '!Z8*100),0,B32*3.6/1000000/'E Balans VL '!Z8*100)</f>
        <v>6.071172837551083E-2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4</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143028.50428435096</v>
      </c>
      <c r="C5" s="18">
        <f>IF(ISERROR('Eigen informatie GS &amp; warmtenet'!B59),0,'Eigen informatie GS &amp; warmtenet'!B59)</f>
        <v>0</v>
      </c>
      <c r="D5" s="31">
        <f>SUM(D6:D15)</f>
        <v>64648.911703095713</v>
      </c>
      <c r="E5" s="18">
        <f>SUM(E6:E15)</f>
        <v>1205.3226544918505</v>
      </c>
      <c r="F5" s="18">
        <f>SUM(F6:F15)</f>
        <v>19671.041801315609</v>
      </c>
      <c r="G5" s="19"/>
      <c r="H5" s="18"/>
      <c r="I5" s="18"/>
      <c r="J5" s="18">
        <f>SUM(J6:J15)</f>
        <v>445.24000715043468</v>
      </c>
      <c r="K5" s="18"/>
      <c r="L5" s="18"/>
      <c r="M5" s="18"/>
      <c r="N5" s="18">
        <f>SUM(N6:N15)</f>
        <v>2843.3728677876716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477.90552481568</v>
      </c>
      <c r="C8" s="34"/>
      <c r="D8" s="38">
        <f>IF( ISERROR(IND_metaal_Gas_kWH/1000),0,IND_metaal_Gas_kWH/1000)*0.902</f>
        <v>90.915166548043487</v>
      </c>
      <c r="E8" s="34">
        <f>C30*'E Balans VL '!I18/100/3.6*1000000</f>
        <v>4.3521994900165737</v>
      </c>
      <c r="F8" s="34">
        <f>C30*'E Balans VL '!L18/100/3.6*1000000+C30*'E Balans VL '!N18/100/3.6*1000000</f>
        <v>63.032109446297945</v>
      </c>
      <c r="G8" s="35"/>
      <c r="H8" s="34"/>
      <c r="I8" s="34"/>
      <c r="J8" s="41">
        <f>C30*'E Balans VL '!D18/100/3.6*1000000+C30*'E Balans VL '!E18/100/3.6*1000000</f>
        <v>7.8369567131414879</v>
      </c>
      <c r="K8" s="34"/>
      <c r="L8" s="34"/>
      <c r="M8" s="34"/>
      <c r="N8" s="34">
        <f>C30*'E Balans VL '!Y18/100/3.6*1000000</f>
        <v>1.6423714413087545</v>
      </c>
      <c r="O8" s="34"/>
      <c r="P8" s="34"/>
      <c r="R8" s="33"/>
    </row>
    <row r="9" spans="1:18">
      <c r="A9" s="6" t="s">
        <v>32</v>
      </c>
      <c r="B9" s="38">
        <f t="shared" si="0"/>
        <v>1783.5195560099899</v>
      </c>
      <c r="C9" s="34"/>
      <c r="D9" s="38">
        <f>IF( ISERROR(IND_andere_gas_kWh/1000),0,IND_andere_gas_kWh/1000)*0.902</f>
        <v>1336.4565969582163</v>
      </c>
      <c r="E9" s="34">
        <f>C31*'E Balans VL '!I19/100/3.6*1000000</f>
        <v>10.309009558690315</v>
      </c>
      <c r="F9" s="34">
        <f>C31*'E Balans VL '!L19/100/3.6*1000000+C31*'E Balans VL '!N19/100/3.6*1000000</f>
        <v>1418.8756263709774</v>
      </c>
      <c r="G9" s="35"/>
      <c r="H9" s="34"/>
      <c r="I9" s="34"/>
      <c r="J9" s="41">
        <f>C31*'E Balans VL '!D19/100/3.6*1000000+C31*'E Balans VL '!E19/100/3.6*1000000</f>
        <v>0.16870113922443325</v>
      </c>
      <c r="K9" s="34"/>
      <c r="L9" s="34"/>
      <c r="M9" s="34"/>
      <c r="N9" s="34">
        <f>C31*'E Balans VL '!Y19/100/3.6*1000000</f>
        <v>135.12859691718509</v>
      </c>
      <c r="O9" s="34"/>
      <c r="P9" s="34"/>
      <c r="R9" s="33"/>
    </row>
    <row r="10" spans="1:18">
      <c r="A10" s="6" t="s">
        <v>40</v>
      </c>
      <c r="B10" s="38">
        <f t="shared" si="0"/>
        <v>726.97319313123296</v>
      </c>
      <c r="C10" s="34"/>
      <c r="D10" s="38">
        <f>IF( ISERROR(IND_voed_gas_kWh/1000),0,IND_voed_gas_kWh/1000)*0.902</f>
        <v>412.21300710169413</v>
      </c>
      <c r="E10" s="34">
        <f>C32*'E Balans VL '!I20/100/3.6*1000000</f>
        <v>7.1480483603549878</v>
      </c>
      <c r="F10" s="34">
        <f>C32*'E Balans VL '!L20/100/3.6*1000000+C32*'E Balans VL '!N20/100/3.6*1000000</f>
        <v>80.739862019795552</v>
      </c>
      <c r="G10" s="35"/>
      <c r="H10" s="34"/>
      <c r="I10" s="34"/>
      <c r="J10" s="41">
        <f>C32*'E Balans VL '!D20/100/3.6*1000000+C32*'E Balans VL '!E20/100/3.6*1000000</f>
        <v>2.8653313801014469E-3</v>
      </c>
      <c r="K10" s="34"/>
      <c r="L10" s="34"/>
      <c r="M10" s="34"/>
      <c r="N10" s="34">
        <f>C32*'E Balans VL '!Y20/100/3.6*1000000</f>
        <v>10.764762969073866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31.0810907414557</v>
      </c>
      <c r="C13" s="34"/>
      <c r="D13" s="38">
        <f>IF( ISERROR(IND_papier_gas_kWh/1000),0,IND_papier_gas_kWh/1000)*0.902</f>
        <v>77.531059625626469</v>
      </c>
      <c r="E13" s="34">
        <f>C35*'E Balans VL '!I23/100/3.6*1000000</f>
        <v>1.0586670153220126</v>
      </c>
      <c r="F13" s="34">
        <f>C35*'E Balans VL '!L23/100/3.6*1000000+C35*'E Balans VL '!N23/100/3.6*1000000</f>
        <v>5.133866732990767</v>
      </c>
      <c r="G13" s="35"/>
      <c r="H13" s="34"/>
      <c r="I13" s="34"/>
      <c r="J13" s="41">
        <f>C35*'E Balans VL '!D23/100/3.6*1000000+C35*'E Balans VL '!E23/100/3.6*1000000</f>
        <v>0</v>
      </c>
      <c r="K13" s="34"/>
      <c r="L13" s="34"/>
      <c r="M13" s="34"/>
      <c r="N13" s="34">
        <f>C35*'E Balans VL '!Y23/100/3.6*1000000</f>
        <v>11.437007862617317</v>
      </c>
      <c r="O13" s="34"/>
      <c r="P13" s="34"/>
      <c r="R13" s="33"/>
    </row>
    <row r="14" spans="1:18">
      <c r="A14" s="6" t="s">
        <v>33</v>
      </c>
      <c r="B14" s="38">
        <f t="shared" si="0"/>
        <v>53063.022434316998</v>
      </c>
      <c r="C14" s="34"/>
      <c r="D14" s="38">
        <f>IF( ISERROR(IND_chemie_gas_kWh/1000),0,IND_chemie_gas_kWh/1000)*0.902</f>
        <v>5145.5447173117209</v>
      </c>
      <c r="E14" s="34">
        <f>C36*'E Balans VL '!I24/100/3.6*1000000</f>
        <v>401.1848227648702</v>
      </c>
      <c r="F14" s="34">
        <f>C36*'E Balans VL '!L24/100/3.6*1000000+C36*'E Balans VL '!N24/100/3.6*1000000</f>
        <v>981.81262440899445</v>
      </c>
      <c r="G14" s="35"/>
      <c r="H14" s="34"/>
      <c r="I14" s="34"/>
      <c r="J14" s="41">
        <f>C36*'E Balans VL '!D24/100/3.6*1000000+C36*'E Balans VL '!E24/100/3.6*1000000</f>
        <v>0</v>
      </c>
      <c r="K14" s="34"/>
      <c r="L14" s="34"/>
      <c r="M14" s="34"/>
      <c r="N14" s="34">
        <f>C36*'E Balans VL '!Y24/100/3.6*1000000</f>
        <v>15.386908215507979</v>
      </c>
      <c r="O14" s="34"/>
      <c r="P14" s="34"/>
      <c r="R14" s="33"/>
    </row>
    <row r="15" spans="1:18">
      <c r="A15" s="6" t="s">
        <v>265</v>
      </c>
      <c r="B15" s="38">
        <f t="shared" si="0"/>
        <v>86946.002485335601</v>
      </c>
      <c r="C15" s="34"/>
      <c r="D15" s="38">
        <f>IF( ISERROR(IND_rest_gas_kWh/1000),0,IND_rest_gas_kWh/1000)*0.902</f>
        <v>57586.25115555041</v>
      </c>
      <c r="E15" s="34">
        <f>C37*'E Balans VL '!I15/100/3.6*1000000</f>
        <v>781.26990730259638</v>
      </c>
      <c r="F15" s="34">
        <f>C37*'E Balans VL '!L15/100/3.6*1000000+C37*'E Balans VL '!N15/100/3.6*1000000</f>
        <v>17121.447712336554</v>
      </c>
      <c r="G15" s="35"/>
      <c r="H15" s="34"/>
      <c r="I15" s="34"/>
      <c r="J15" s="41">
        <f>C37*'E Balans VL '!D15/100/3.6*1000000+C37*'E Balans VL '!E15/100/3.6*1000000</f>
        <v>437.23148396668864</v>
      </c>
      <c r="K15" s="34"/>
      <c r="L15" s="34"/>
      <c r="M15" s="34"/>
      <c r="N15" s="34">
        <f>C37*'E Balans VL '!Y15/100/3.6*1000000</f>
        <v>2669.0132203819785</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143028.50428435096</v>
      </c>
      <c r="C18" s="22">
        <f>C5+C16</f>
        <v>0</v>
      </c>
      <c r="D18" s="22">
        <f>MAX((D5+D16),0)</f>
        <v>64648.911703095713</v>
      </c>
      <c r="E18" s="22">
        <f>MAX((E5+E16),0)</f>
        <v>1205.3226544918505</v>
      </c>
      <c r="F18" s="22">
        <f>MAX((F5+F16),0)</f>
        <v>19671.041801315609</v>
      </c>
      <c r="G18" s="22"/>
      <c r="H18" s="22"/>
      <c r="I18" s="22"/>
      <c r="J18" s="22">
        <f>MAX((J5+J16),0)</f>
        <v>445.24000715043468</v>
      </c>
      <c r="K18" s="22"/>
      <c r="L18" s="22">
        <f>MAX((L5+L16),0)</f>
        <v>0</v>
      </c>
      <c r="M18" s="22"/>
      <c r="N18" s="22">
        <f>MAX((N5+N16),0)</f>
        <v>2843.3728677876716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0.20919177253438545</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29920.386334185321</v>
      </c>
      <c r="C22" s="24">
        <f ca="1">C18*C20</f>
        <v>0</v>
      </c>
      <c r="D22" s="24">
        <f>D18*D20</f>
        <v>13059.080164025336</v>
      </c>
      <c r="E22" s="24">
        <f>E18*E20</f>
        <v>273.60824256965009</v>
      </c>
      <c r="F22" s="24">
        <f>F18*F20</f>
        <v>5252.168160951268</v>
      </c>
      <c r="G22" s="24"/>
      <c r="H22" s="24"/>
      <c r="I22" s="24"/>
      <c r="J22" s="24">
        <f>J18*J20</f>
        <v>157.61496253125387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477.90552481568</v>
      </c>
      <c r="C30" s="40">
        <f>IF(ISERROR(B30*3.6/1000000/'E Balans VL '!Z18*100),0,B30*3.6/1000000/'E Balans VL '!Z18*100)</f>
        <v>2.6592246729166654E-2</v>
      </c>
      <c r="D30" s="236" t="s">
        <v>691</v>
      </c>
    </row>
    <row r="31" spans="1:18">
      <c r="A31" s="6" t="s">
        <v>32</v>
      </c>
      <c r="B31" s="38">
        <f>IF( ISERROR(IND_ander_ele_kWh/1000),0,IND_ander_ele_kWh/1000)</f>
        <v>1783.5195560099899</v>
      </c>
      <c r="C31" s="40">
        <f>IF(ISERROR(B31*3.6/1000000/'E Balans VL '!Z19*100),0,B31*3.6/1000000/'E Balans VL '!Z19*100)</f>
        <v>8.2911140096649794E-2</v>
      </c>
      <c r="D31" s="236" t="s">
        <v>691</v>
      </c>
    </row>
    <row r="32" spans="1:18">
      <c r="A32" s="171" t="s">
        <v>40</v>
      </c>
      <c r="B32" s="38">
        <f>IF( ISERROR(IND_voed_ele_kWh/1000),0,IND_voed_ele_kWh/1000)</f>
        <v>726.97319313123296</v>
      </c>
      <c r="C32" s="40">
        <f>IF(ISERROR(B32*3.6/1000000/'E Balans VL '!Z20*100),0,B32*3.6/1000000/'E Balans VL '!Z20*100)</f>
        <v>2.5697034192647294E-2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31.0810907414557</v>
      </c>
      <c r="C35" s="40">
        <f>IF(ISERROR(B35*3.6/1000000/'E Balans VL '!Z22*100),0,B35*3.6/1000000/'E Balans VL '!Z22*100)</f>
        <v>6.2464227818840026E-3</v>
      </c>
      <c r="D35" s="236" t="s">
        <v>691</v>
      </c>
    </row>
    <row r="36" spans="1:5">
      <c r="A36" s="171" t="s">
        <v>33</v>
      </c>
      <c r="B36" s="38">
        <f>IF( ISERROR(IND_chemie_ele_kWh/1000),0,IND_chemie_ele_kWh/1000)</f>
        <v>53063.022434316998</v>
      </c>
      <c r="C36" s="40">
        <f>IF(ISERROR(B36*3.6/1000000/'E Balans VL '!Z24*100),0,B36*3.6/1000000/'E Balans VL '!Z24*100)</f>
        <v>1.306688804977604</v>
      </c>
      <c r="D36" s="236" t="s">
        <v>691</v>
      </c>
    </row>
    <row r="37" spans="1:5">
      <c r="A37" s="171" t="s">
        <v>265</v>
      </c>
      <c r="B37" s="38">
        <f>IF( ISERROR(IND_rest_ele_kWh/1000),0,IND_rest_ele_kWh/1000)</f>
        <v>86946.002485335601</v>
      </c>
      <c r="C37" s="40">
        <f>IF(ISERROR(B37*3.6/1000000/'E Balans VL '!Z15*100),0,B37*3.6/1000000/'E Balans VL '!Z15*100)</f>
        <v>0.6565707574318036</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3440.1316969937197</v>
      </c>
      <c r="C5" s="18">
        <f>'Eigen informatie GS &amp; warmtenet'!B60</f>
        <v>0</v>
      </c>
      <c r="D5" s="31">
        <f>IF(ISERROR(SUM(LB_lb_gas_kWh,LB_rest_gas_kWh)/1000),0,SUM(LB_lb_gas_kWh,LB_rest_gas_kWh)/1000)*0.902</f>
        <v>16354.888181584343</v>
      </c>
      <c r="E5" s="18">
        <f>B17*'E Balans VL '!I25/3.6*1000000/100</f>
        <v>32.408345549527787</v>
      </c>
      <c r="F5" s="18">
        <f>B17*('E Balans VL '!L25/3.6*1000000+'E Balans VL '!N25/3.6*1000000)/100</f>
        <v>11226.291406734728</v>
      </c>
      <c r="G5" s="19"/>
      <c r="H5" s="18"/>
      <c r="I5" s="18"/>
      <c r="J5" s="18">
        <f>('E Balans VL '!D25+'E Balans VL '!E25)/3.6*1000000*landbouw!B17/100</f>
        <v>425.56102371548315</v>
      </c>
      <c r="K5" s="18"/>
      <c r="L5" s="18">
        <f>L6*(-1)</f>
        <v>0</v>
      </c>
      <c r="M5" s="18"/>
      <c r="N5" s="18">
        <f>N6*(-1)</f>
        <v>0</v>
      </c>
      <c r="O5" s="18"/>
      <c r="P5" s="18"/>
      <c r="R5" s="33"/>
    </row>
    <row r="6" spans="1:18">
      <c r="A6" s="17" t="s">
        <v>495</v>
      </c>
      <c r="B6" s="18" t="s">
        <v>210</v>
      </c>
      <c r="C6" s="18">
        <f>'lokale energieproductie'!O40+'lokale energieproductie'!O33</f>
        <v>7515</v>
      </c>
      <c r="D6" s="305">
        <f>('lokale energieproductie'!P33+'lokale energieproductie'!P40)*(-1)</f>
        <v>-15030.000000000002</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3440.1316969937197</v>
      </c>
      <c r="C8" s="22">
        <f>C5+C6</f>
        <v>7515</v>
      </c>
      <c r="D8" s="22">
        <f>MAX((D5+D6),0)</f>
        <v>1324.8881815843415</v>
      </c>
      <c r="E8" s="22">
        <f>MAX((E5+E6),0)</f>
        <v>32.408345549527787</v>
      </c>
      <c r="F8" s="22">
        <f>MAX((F5+F6),0)</f>
        <v>11226.291406734728</v>
      </c>
      <c r="G8" s="22"/>
      <c r="H8" s="22"/>
      <c r="I8" s="22"/>
      <c r="J8" s="22">
        <f>MAX((J5+J6),0)</f>
        <v>425.56102371548315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0.20919177253438545</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719.64724744583964</v>
      </c>
      <c r="C12" s="24">
        <f ca="1">C8*C10</f>
        <v>1785.9176470588238</v>
      </c>
      <c r="D12" s="24">
        <f>D8*D10</f>
        <v>267.62741268003703</v>
      </c>
      <c r="E12" s="24">
        <f>E8*E10</f>
        <v>7.3566944397428076</v>
      </c>
      <c r="F12" s="24">
        <f>F8*F10</f>
        <v>2997.4198055981728</v>
      </c>
      <c r="G12" s="24"/>
      <c r="H12" s="24"/>
      <c r="I12" s="24"/>
      <c r="J12" s="24">
        <f>J8*J10</f>
        <v>150.64860239528102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0.46573886022570554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330.94229377591154</v>
      </c>
      <c r="C26" s="246">
        <f>B26*'GWP N2O_CH4'!B5</f>
        <v>6949.7881692941419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91.319030264188513</v>
      </c>
      <c r="C27" s="246">
        <f>B27*'GWP N2O_CH4'!B5</f>
        <v>1917.6996355479587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7.4095513995801605</v>
      </c>
      <c r="C28" s="246">
        <f>B28*'GWP N2O_CH4'!B4</f>
        <v>2296.9609338698497</v>
      </c>
      <c r="D28" s="51"/>
    </row>
    <row r="29" spans="1:4">
      <c r="A29" s="42" t="s">
        <v>272</v>
      </c>
      <c r="B29" s="246">
        <f>B34*'ha_N2O bodem landbouw'!B4</f>
        <v>12.122771949400745</v>
      </c>
      <c r="C29" s="246">
        <f>B29*'GWP N2O_CH4'!B4</f>
        <v>3758.0593043142308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3.2727667982424139E-3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3.2510873382112622E-5</v>
      </c>
      <c r="C5" s="435" t="s">
        <v>210</v>
      </c>
      <c r="D5" s="420">
        <f>SUM(D6:D11)</f>
        <v>3.8169000072625648E-5</v>
      </c>
      <c r="E5" s="420">
        <f>SUM(E6:E11)</f>
        <v>2.6577043946172125E-3</v>
      </c>
      <c r="F5" s="433" t="s">
        <v>210</v>
      </c>
      <c r="G5" s="420">
        <f>SUM(G6:G11)</f>
        <v>0.59086684700255387</v>
      </c>
      <c r="H5" s="420">
        <f>SUM(H6:H11)</f>
        <v>9.4192320894264298E-2</v>
      </c>
      <c r="I5" s="435" t="s">
        <v>210</v>
      </c>
      <c r="J5" s="435" t="s">
        <v>210</v>
      </c>
      <c r="K5" s="435" t="s">
        <v>210</v>
      </c>
      <c r="L5" s="435" t="s">
        <v>210</v>
      </c>
      <c r="M5" s="420">
        <f>SUM(M6:M11)</f>
        <v>3.0605524191990918E-2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1.6031694075108354E-5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1.8671817060936502E-5</v>
      </c>
      <c r="E6" s="423">
        <f>vkm_GW_PW*SUMIFS(TableVerdeelsleutelVkm[LPG],TableVerdeelsleutelVkm[Voertuigtype],"Lichte voertuigen")*SUMIFS(TableECFTransport[EnergieConsumptieFactor (PJ per km)],TableECFTransport[Index],CONCATENATE($A6,"_LPG_LPG"))</f>
        <v>1.2113795098269943E-3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0.18899797864065807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4.5548482949792815E-2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1.0495969430931241E-2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3.948160102349434E-7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6.5311281227835041E-2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1.7525344079427667E-6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2.9061389572231206E-3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3.1175040977676242E-6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5.9300292081687273E-6</v>
      </c>
      <c r="E8" s="423">
        <f>vkm_NGW_PW*SUMIFS(TableVerdeelsleutelVkm[LPG],TableVerdeelsleutelVkm[Voertuigtype],"Lichte voertuigen")*SUMIFS(TableECFTransport[EnergieConsumptieFactor (PJ per km)],TableECFTransport[Index],CONCATENATE($A8,"_LPG_LPG"))</f>
        <v>3.6451273294838129E-4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5.3538814254676097E-2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1.3789442055329544E-2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3.0138803233048096E-3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1.6055084678662101E-8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3.4057367313852249E-3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8.6020278554813212E-8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1.5154392852886759E-4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1.2164032579137627E-5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1.3567153803520422E-5</v>
      </c>
      <c r="E10" s="423">
        <f>vkm_SW_PW*SUMIFS(TableVerdeelsleutelVkm[LPG],TableVerdeelsleutelVkm[Voertuigtype],"Lichte voertuigen")*SUMIFS(TableECFTransport[EnergieConsumptieFactor (PJ per km)],TableECFTransport[Index],CONCATENATE($A10,"_LPG_LPG"))</f>
        <v>1.0818121518418368E-3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0.15770003215689524</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3.4848962731920188E-2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8.6132457705127112E-3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7.8677153518541435E-7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0.12191300399110415</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3.594602535254615E-6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5.4247457814901642E-3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9.03079816169795</v>
      </c>
      <c r="C14" s="22"/>
      <c r="D14" s="22">
        <f t="shared" ref="D14:M14" si="0">((D5)*10^9/3600)+D12</f>
        <v>10.602500020173791</v>
      </c>
      <c r="E14" s="22">
        <f t="shared" si="0"/>
        <v>738.25122072700344</v>
      </c>
      <c r="F14" s="22"/>
      <c r="G14" s="22">
        <f t="shared" si="0"/>
        <v>164129.67972293161</v>
      </c>
      <c r="H14" s="22">
        <f t="shared" si="0"/>
        <v>26164.533581740081</v>
      </c>
      <c r="I14" s="22"/>
      <c r="J14" s="22"/>
      <c r="K14" s="22"/>
      <c r="L14" s="22"/>
      <c r="M14" s="22">
        <f t="shared" si="0"/>
        <v>8501.5344977752557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0.20919177253438545</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1.8891686748458638</v>
      </c>
      <c r="C18" s="24"/>
      <c r="D18" s="24">
        <f t="shared" ref="D18:M18" si="1">D14*D16</f>
        <v>2.141705004075106</v>
      </c>
      <c r="E18" s="24">
        <f t="shared" si="1"/>
        <v>167.5830271050298</v>
      </c>
      <c r="F18" s="24"/>
      <c r="G18" s="24">
        <f t="shared" si="1"/>
        <v>43822.624486022745</v>
      </c>
      <c r="H18" s="24">
        <f t="shared" si="1"/>
        <v>6514.96886185328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3.553434181198217E-5</v>
      </c>
      <c r="C50" s="316">
        <f t="shared" ref="C50:P50" si="2">SUM(C51:C52)</f>
        <v>0</v>
      </c>
      <c r="D50" s="316">
        <f t="shared" si="2"/>
        <v>0</v>
      </c>
      <c r="E50" s="316">
        <f t="shared" si="2"/>
        <v>0</v>
      </c>
      <c r="F50" s="316">
        <f t="shared" si="2"/>
        <v>0</v>
      </c>
      <c r="G50" s="316">
        <f t="shared" si="2"/>
        <v>7.0873945326768214E-3</v>
      </c>
      <c r="H50" s="316">
        <f t="shared" si="2"/>
        <v>0</v>
      </c>
      <c r="I50" s="316">
        <f t="shared" si="2"/>
        <v>0</v>
      </c>
      <c r="J50" s="316">
        <f t="shared" si="2"/>
        <v>0</v>
      </c>
      <c r="K50" s="316">
        <f t="shared" si="2"/>
        <v>0</v>
      </c>
      <c r="L50" s="316">
        <f t="shared" si="2"/>
        <v>0</v>
      </c>
      <c r="M50" s="316">
        <f t="shared" si="2"/>
        <v>3.1325528984541381E-4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3.553434181198217E-5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7.0873945326768214E-3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3.1325528984541381E-4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9.8706505033283811</v>
      </c>
      <c r="C54" s="22">
        <f t="shared" ref="C54:P54" si="3">(C50)*10^9/3600</f>
        <v>0</v>
      </c>
      <c r="D54" s="22">
        <f t="shared" si="3"/>
        <v>0</v>
      </c>
      <c r="E54" s="22">
        <f t="shared" si="3"/>
        <v>0</v>
      </c>
      <c r="F54" s="22">
        <f t="shared" si="3"/>
        <v>0</v>
      </c>
      <c r="G54" s="22">
        <f t="shared" si="3"/>
        <v>1968.7207035213394</v>
      </c>
      <c r="H54" s="22">
        <f t="shared" si="3"/>
        <v>0</v>
      </c>
      <c r="I54" s="22">
        <f t="shared" si="3"/>
        <v>0</v>
      </c>
      <c r="J54" s="22">
        <f t="shared" si="3"/>
        <v>0</v>
      </c>
      <c r="K54" s="22">
        <f t="shared" si="3"/>
        <v>0</v>
      </c>
      <c r="L54" s="22">
        <f t="shared" si="3"/>
        <v>0</v>
      </c>
      <c r="M54" s="22">
        <f t="shared" si="3"/>
        <v>87.015358290392726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0.20919177253438545</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2.0648588748586878</v>
      </c>
      <c r="C58" s="24">
        <f t="shared" ref="C58:P58" ca="1" si="4">C54*C56</f>
        <v>0</v>
      </c>
      <c r="D58" s="24">
        <f t="shared" si="4"/>
        <v>0</v>
      </c>
      <c r="E58" s="24">
        <f t="shared" si="4"/>
        <v>0</v>
      </c>
      <c r="F58" s="24">
        <f t="shared" si="4"/>
        <v>0</v>
      </c>
      <c r="G58" s="24">
        <f t="shared" si="4"/>
        <v>525.64842784019766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11505.209659067612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5285.25</v>
      </c>
      <c r="C8" s="546">
        <f>B49</f>
        <v>6217.9411764705892</v>
      </c>
      <c r="D8" s="969"/>
      <c r="E8" s="969">
        <f>E49</f>
        <v>0</v>
      </c>
      <c r="F8" s="970"/>
      <c r="G8" s="547"/>
      <c r="H8" s="969">
        <f>I49</f>
        <v>0</v>
      </c>
      <c r="I8" s="969">
        <f>G49+F49</f>
        <v>0</v>
      </c>
      <c r="J8" s="969">
        <f>H49+D49+C49</f>
        <v>0</v>
      </c>
      <c r="K8" s="969"/>
      <c r="L8" s="969"/>
      <c r="M8" s="969"/>
      <c r="N8" s="548"/>
      <c r="O8" s="549">
        <f>C8*$C$12+D8*$D$12+E8*$E$12+F8*$F$12+G8*$G$12+H8*$H$12+I8*$I$12+J8*$J$12</f>
        <v>1256.024117647059</v>
      </c>
      <c r="P8" s="1243"/>
      <c r="Q8" s="1244"/>
      <c r="S8" s="1006"/>
      <c r="T8" s="1264"/>
      <c r="U8" s="1264"/>
    </row>
    <row r="9" spans="1:21" s="534" customFormat="1" ht="17.45" customHeight="1" thickBot="1">
      <c r="A9" s="550" t="s">
        <v>243</v>
      </c>
      <c r="B9" s="971">
        <f>N37+'Eigen informatie GS &amp; warmtenet'!B12</f>
        <v>1341</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18131.459659067612</v>
      </c>
      <c r="C10" s="558">
        <f t="shared" ref="C10:L10" si="0">SUM(C8:C9)</f>
        <v>6217.9411764705892</v>
      </c>
      <c r="D10" s="558">
        <f t="shared" si="0"/>
        <v>0</v>
      </c>
      <c r="E10" s="558">
        <f t="shared" si="0"/>
        <v>0</v>
      </c>
      <c r="F10" s="558">
        <f t="shared" si="0"/>
        <v>0</v>
      </c>
      <c r="G10" s="558">
        <f t="shared" si="0"/>
        <v>0</v>
      </c>
      <c r="H10" s="558">
        <f t="shared" si="0"/>
        <v>0</v>
      </c>
      <c r="I10" s="558">
        <f t="shared" si="0"/>
        <v>0</v>
      </c>
      <c r="J10" s="558">
        <f t="shared" si="0"/>
        <v>3831.4285714285716</v>
      </c>
      <c r="K10" s="558">
        <f t="shared" si="0"/>
        <v>0</v>
      </c>
      <c r="L10" s="558">
        <f t="shared" si="0"/>
        <v>0</v>
      </c>
      <c r="M10" s="973"/>
      <c r="N10" s="973"/>
      <c r="O10" s="559">
        <f>SUM(O4:O9)</f>
        <v>1256.024117647059</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7550.3571428571431</v>
      </c>
      <c r="C17" s="570">
        <f>B50</f>
        <v>8882.7731092436989</v>
      </c>
      <c r="D17" s="571"/>
      <c r="E17" s="571">
        <f>E50</f>
        <v>0</v>
      </c>
      <c r="F17" s="572"/>
      <c r="G17" s="573"/>
      <c r="H17" s="570">
        <f>I50</f>
        <v>0</v>
      </c>
      <c r="I17" s="571">
        <f>G50+F50</f>
        <v>0</v>
      </c>
      <c r="J17" s="571">
        <f>H50+D50+C50</f>
        <v>0</v>
      </c>
      <c r="K17" s="571"/>
      <c r="L17" s="571"/>
      <c r="M17" s="571"/>
      <c r="N17" s="976"/>
      <c r="O17" s="574">
        <f>C17*$C$22+E17*$E$22+H17*$H$22+I17*$I$22+J17*$J$22+D17*$D$22+F17*$F$22+G17*$G$22+K17*$K$22+L17*$L$22</f>
        <v>1794.3201680672273</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7550.3571428571431</v>
      </c>
      <c r="C20" s="557">
        <f>SUM(C17:C19)</f>
        <v>8882.7731092436989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1794.3201680672273</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13049</v>
      </c>
      <c r="C28" s="777">
        <v>2260</v>
      </c>
      <c r="D28" s="630" t="s">
        <v>965</v>
      </c>
      <c r="E28" s="629" t="s">
        <v>966</v>
      </c>
      <c r="F28" s="629" t="s">
        <v>967</v>
      </c>
      <c r="G28" s="629" t="s">
        <v>968</v>
      </c>
      <c r="H28" s="629" t="s">
        <v>969</v>
      </c>
      <c r="I28" s="629" t="s">
        <v>970</v>
      </c>
      <c r="J28" s="776">
        <v>36797</v>
      </c>
      <c r="K28" s="776">
        <v>39356</v>
      </c>
      <c r="L28" s="629" t="s">
        <v>971</v>
      </c>
      <c r="M28" s="629">
        <v>5.5</v>
      </c>
      <c r="N28" s="629">
        <v>24.75</v>
      </c>
      <c r="O28" s="629">
        <v>35.357142857142861</v>
      </c>
      <c r="P28" s="629">
        <v>70.714285714285722</v>
      </c>
      <c r="Q28" s="629">
        <v>0</v>
      </c>
      <c r="R28" s="629">
        <v>0</v>
      </c>
      <c r="S28" s="629">
        <v>0</v>
      </c>
      <c r="T28" s="629">
        <v>0</v>
      </c>
      <c r="U28" s="629">
        <v>0</v>
      </c>
      <c r="V28" s="629">
        <v>0</v>
      </c>
      <c r="W28" s="629"/>
      <c r="X28" s="629">
        <v>1600</v>
      </c>
      <c r="Y28" s="629" t="s">
        <v>49</v>
      </c>
      <c r="Z28" s="631" t="s">
        <v>155</v>
      </c>
    </row>
    <row r="29" spans="1:26" s="583" customFormat="1" ht="25.5">
      <c r="A29" s="582"/>
      <c r="B29" s="777">
        <v>13049</v>
      </c>
      <c r="C29" s="777">
        <v>2260</v>
      </c>
      <c r="D29" s="630" t="s">
        <v>972</v>
      </c>
      <c r="E29" s="629" t="s">
        <v>973</v>
      </c>
      <c r="F29" s="629" t="s">
        <v>974</v>
      </c>
      <c r="G29" s="629" t="s">
        <v>968</v>
      </c>
      <c r="H29" s="629" t="s">
        <v>969</v>
      </c>
      <c r="I29" s="629" t="s">
        <v>973</v>
      </c>
      <c r="J29" s="776">
        <v>39651</v>
      </c>
      <c r="K29" s="776">
        <v>39651</v>
      </c>
      <c r="L29" s="629" t="s">
        <v>971</v>
      </c>
      <c r="M29" s="629">
        <v>1169</v>
      </c>
      <c r="N29" s="629">
        <v>5260.5</v>
      </c>
      <c r="O29" s="629">
        <v>7515</v>
      </c>
      <c r="P29" s="629">
        <v>15030.000000000002</v>
      </c>
      <c r="Q29" s="629">
        <v>0</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1174.5</v>
      </c>
      <c r="N30" s="587">
        <f>SUM(N28:N29)</f>
        <v>5285.25</v>
      </c>
      <c r="O30" s="587">
        <f>SUM(O28:O29)</f>
        <v>7550.3571428571431</v>
      </c>
      <c r="P30" s="587">
        <f>SUM(P28:P29)</f>
        <v>15100.714285714288</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5.5</v>
      </c>
      <c r="N32" s="587">
        <f ca="1">SUMIF($Z$28:AD29,"tertiair",N28:N29)</f>
        <v>24.75</v>
      </c>
      <c r="O32" s="587">
        <f ca="1">SUMIF($Z$28:AE29,"tertiair",O28:O29)</f>
        <v>35.357142857142861</v>
      </c>
      <c r="P32" s="587">
        <f ca="1">SUMIF($Z$28:AF29,"tertiair",P28:P29)</f>
        <v>70.714285714285722</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1169</v>
      </c>
      <c r="N33" s="592">
        <f>SUMIF($Z$28:$Z$29,"landbouw",N28:N29)</f>
        <v>5260.5</v>
      </c>
      <c r="O33" s="592">
        <f>SUMIF($Z$28:$Z$29,"landbouw",O28:O29)</f>
        <v>7515</v>
      </c>
      <c r="P33" s="592">
        <f>SUMIF($Z$28:$Z$29,"landbouw",P28:P29)</f>
        <v>15030.000000000002</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63.75">
      <c r="A36" s="584"/>
      <c r="B36" s="777">
        <v>13049</v>
      </c>
      <c r="C36" s="777">
        <v>2260</v>
      </c>
      <c r="D36" s="632" t="s">
        <v>975</v>
      </c>
      <c r="E36" s="632" t="s">
        <v>976</v>
      </c>
      <c r="F36" s="632" t="s">
        <v>977</v>
      </c>
      <c r="G36" s="632" t="s">
        <v>978</v>
      </c>
      <c r="H36" s="632" t="s">
        <v>979</v>
      </c>
      <c r="I36" s="632" t="s">
        <v>980</v>
      </c>
      <c r="J36" s="776">
        <v>38796</v>
      </c>
      <c r="K36" s="776">
        <v>39052</v>
      </c>
      <c r="L36" s="632" t="s">
        <v>981</v>
      </c>
      <c r="M36" s="632">
        <v>298</v>
      </c>
      <c r="N36" s="632">
        <v>1341</v>
      </c>
      <c r="O36" s="632">
        <v>0</v>
      </c>
      <c r="P36" s="632">
        <v>0</v>
      </c>
      <c r="Q36" s="632">
        <v>3831.4285714285716</v>
      </c>
      <c r="R36" s="632">
        <v>0</v>
      </c>
      <c r="S36" s="632">
        <v>0</v>
      </c>
      <c r="T36" s="632">
        <v>0</v>
      </c>
      <c r="U36" s="632">
        <v>0</v>
      </c>
      <c r="V36" s="632">
        <v>0</v>
      </c>
      <c r="W36" s="632"/>
      <c r="X36" s="632">
        <v>1600</v>
      </c>
      <c r="Y36" s="632" t="s">
        <v>49</v>
      </c>
      <c r="Z36" s="633" t="s">
        <v>155</v>
      </c>
    </row>
    <row r="37" spans="1:27" s="565" customFormat="1">
      <c r="A37" s="585" t="s">
        <v>275</v>
      </c>
      <c r="B37" s="586"/>
      <c r="C37" s="586"/>
      <c r="D37" s="586"/>
      <c r="E37" s="586"/>
      <c r="F37" s="586"/>
      <c r="G37" s="586"/>
      <c r="H37" s="586"/>
      <c r="I37" s="586"/>
      <c r="J37" s="586"/>
      <c r="K37" s="586"/>
      <c r="L37" s="587"/>
      <c r="M37" s="587">
        <f>SUM(M36:M36)</f>
        <v>298</v>
      </c>
      <c r="N37" s="587">
        <f>SUM(N36:N36)</f>
        <v>1341</v>
      </c>
      <c r="O37" s="587">
        <f>SUM(O36:O36)</f>
        <v>0</v>
      </c>
      <c r="P37" s="587">
        <f>SUM(P36:P36)</f>
        <v>0</v>
      </c>
      <c r="Q37" s="587">
        <f>SUM(Q36:Q36)</f>
        <v>3831.4285714285716</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298</v>
      </c>
      <c r="N39" s="587">
        <f>SUMIF($Z$36:$Z$37,"tertiair",N36:N37)</f>
        <v>1341</v>
      </c>
      <c r="O39" s="587">
        <f>SUMIF($Z$36:$Z$37,"tertiair",O36:O37)</f>
        <v>0</v>
      </c>
      <c r="P39" s="587">
        <f>SUMIF($Z$36:$Z$37,"tertiair",P36:P37)</f>
        <v>0</v>
      </c>
      <c r="Q39" s="587">
        <f>SUMIF($Z$36:$Z$37,"tertiair",Q36:Q37)</f>
        <v>3831.4285714285716</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6217.9411764705892</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8882.7731092436989</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2021-06-29T16:39:23Z</dcterms:modified>
</cp:coreProperties>
</file>