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N6" i="17"/>
  <c r="L6" i="17"/>
  <c r="F6" i="17"/>
  <c r="D6" i="17"/>
  <c r="C6" i="17"/>
  <c r="N16" i="16"/>
  <c r="L16" i="16"/>
  <c r="F16" i="16"/>
  <c r="D16" i="16"/>
  <c r="C16" i="16"/>
  <c r="B16" i="16"/>
  <c r="B13" i="15"/>
  <c r="F49" i="18" l="1"/>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<sst xmlns="http://schemas.openxmlformats.org/spreadsheetml/2006/main" count="2592" uniqueCount="982">
  <si>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</si>
  <si>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</si>
  <si>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</si>
  <si>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</si>
  <si>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</si>
  <si>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</si>
  <si>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</si>
  <si>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</si>
  <si>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</si>
  <si>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</si>
  <si>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</si>
  <si>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</si>
  <si>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</si>
  <si>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</si>
  <si>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</si>
  <si>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</si>
  <si>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</si>
  <si>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</si>
  <si>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</si>
  <si>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</si>
  <si>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</si>
  <si>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</si>
  <si>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</si>
  <si>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</si>
  <si>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</si>
  <si>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</si>
  <si>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</si>
  <si>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</si>
  <si>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</si>
  <si>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</si>
  <si>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</si>
  <si>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</si>
  <si>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</si>
  <si>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</si>
  <si>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</si>
  <si>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</si>
  <si>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</si>
  <si>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</si>
  <si>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</si>
  <si>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</si>
  <si>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</si>
  <si>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</si>
  <si>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</si>
  <si>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</si>
  <si>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</si>
  <si>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</si>
  <si>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</si>
  <si>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</si>
  <si>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</si>
  <si>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</si>
  <si>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</si>
  <si>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</si>
  <si>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</si>
  <si>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</si>
  <si>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</si>
  <si>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</si>
  <si>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</si>
  <si>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</si>
  <si>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</si>
  <si>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</si>
  <si>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</si>
  <si>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</si>
  <si>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</si>
  <si>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</si>
  <si>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</si>
  <si>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</si>
  <si>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</si>
  <si>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</si>
  <si>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</si>
  <si>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</si>
  <si>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</si>
  <si>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</si>
  <si>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</si>
  <si>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</si>
  <si>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</si>
  <si>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</si>
  <si>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</si>
  <si>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</si>
  <si>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</si>
  <si>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</si>
  <si>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</si>
  <si>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</si>
  <si>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</si>
  <si>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</si>
  <si>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</si>
  <si>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</si>
  <si>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</si>
  <si>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</si>
  <si>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</si>
  <si>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</si>
  <si>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</si>
  <si>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</si>
  <si>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</si>
  <si>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</si>
  <si>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</si>
  <si>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</si>
  <si>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</si>
  <si>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</si>
  <si>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</si>
  <si>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</si>
  <si>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</si>
  <si>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</si>
  <si>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</si>
  <si>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</si>
  <si>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</si>
  <si>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</si>
  <si>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</si>
  <si>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</si>
  <si>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</si>
  <si>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</si>
  <si>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</si>
  <si>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</si>
  <si>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</si>
  <si>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</si>
  <si>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</si>
  <si>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</si>
  <si>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</si>
  <si>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</si>
  <si>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</si>
  <si>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</si>
  <si>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</si>
  <si>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</si>
  <si>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</si>
  <si>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</si>
  <si>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</si>
  <si>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</si>
  <si>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</si>
  <si>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</si>
  <si>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</si>
  <si>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</si>
  <si>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</si>
  <si>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</si>
  <si>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</si>
  <si>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</si>
  <si>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</si>
  <si>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</si>
  <si>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</si>
  <si>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</si>
  <si>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</si>
  <si>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</si>
  <si>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</si>
  <si>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</si>
  <si>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</si>
  <si>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</si>
  <si>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</si>
  <si>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</si>
  <si>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</si>
  <si>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</si>
  <si>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</si>
  <si>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</si>
  <si>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</si>
  <si>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</si>
  <si>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</si>
  <si>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</si>
  <si>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</si>
  <si>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</si>
  <si>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</si>
  <si>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</si>
  <si>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</si>
  <si>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</si>
  <si>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</si>
  <si>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</si>
  <si>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</si>
  <si>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</si>
  <si>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</si>
  <si>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</si>
  <si>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</si>
  <si>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</si>
  <si>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</si>
  <si>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</si>
  <si>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</si>
  <si>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</si>
  <si>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</si>
  <si>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</si>
  <si>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</si>
  <si>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</si>
  <si>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</si>
  <si>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</si>
  <si>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</si>
  <si>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</si>
  <si>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</si>
  <si>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</si>
  <si>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</si>
  <si>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</si>
  <si>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</si>
  <si>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</si>
  <si>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</si>
  <si>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</si>
  <si>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</si>
  <si>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</si>
  <si>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</si>
  <si>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</si>
  <si>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</si>
  <si>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</si>
  <si>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</si>
  <si>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</si>
  <si>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</si>
  <si>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</si>
  <si>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</si>
  <si>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</si>
  <si>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</si>
  <si>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</si>
  <si>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</si>
  <si>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</si>
  <si>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</si>
  <si>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</si>
  <si>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</si>
  <si>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</si>
  <si>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</si>
  <si>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</si>
  <si>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</si>
  <si>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</si>
  <si>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</si>
  <si>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</si>
  <si>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</si>
  <si>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</si>
  <si>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</si>
  <si>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</si>
  <si>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</si>
  <si>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</si>
  <si>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</si>
  <si>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</si>
  <si>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</si>
  <si>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</si>
  <si>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</si>
  <si>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</si>
  <si>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</si>
  <si>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</si>
  <si>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</si>
  <si>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</si>
  <si>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</si>
  <si>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</si>
  <si>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</si>
  <si>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</si>
  <si>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</si>
  <si>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</si>
  <si>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</si>
  <si>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</si>
  <si>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</si>
  <si>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</si>
  <si>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</si>
  <si>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</si>
  <si>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</si>
  <si>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</si>
  <si>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</si>
  <si>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</si>
  <si>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</si>
  <si>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</si>
  <si>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</si>
  <si>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</si>
  <si>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</si>
  <si>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</si>
  <si>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</si>
  <si>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</si>
  <si>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</si>
  <si>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</si>
  <si>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</si>
  <si>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</si>
  <si>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</si>
  <si>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</si>
  <si>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</si>
  <si>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</si>
  <si>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</si>
  <si>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</si>
  <si>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</si>
  <si>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</si>
  <si>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</si>
  <si>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</si>
  <si>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</si>
  <si>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</si>
  <si>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</si>
  <si>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</si>
  <si>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</si>
  <si>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</si>
  <si>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</si>
  <si>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</si>
  <si>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</si>
  <si>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</si>
  <si>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</si>
  <si>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</si>
  <si>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</si>
  <si>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</si>
  <si>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</si>
  <si>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</si>
  <si>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</si>
  <si>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</si>
  <si>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</si>
  <si>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</si>
  <si>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</si>
  <si>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</si>
  <si>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</si>
  <si>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</si>
  <si>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</si>
  <si>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</si>
  <si>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</si>
  <si>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</si>
  <si>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</si>
  <si>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</si>
  <si>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</si>
  <si>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</si>
  <si>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</si>
  <si>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</si>
  <si>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</si>
  <si>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</si>
  <si>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</si>
  <si>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</si>
  <si>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</si>
  <si>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</si>
  <si>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</si>
  <si>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</si>
  <si>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</si>
  <si>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</si>
  <si>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</si>
  <si>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</si>
  <si>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</si>
  <si>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</si>
  <si>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</si>
  <si>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</si>
  <si>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</si>
  <si>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</si>
  <si>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</si>
  <si>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</si>
  <si>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</si>
  <si>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</si>
  <si>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</si>
  <si>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</si>
  <si>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</si>
  <si>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</si>
  <si>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</si>
  <si>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</si>
  <si>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</si>
  <si>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</si>
  <si>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</si>
  <si>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</si>
  <si>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</si>
  <si>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</si>
  <si>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</si>
  <si>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</si>
  <si>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</si>
  <si>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</si>
  <si>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</si>
  <si>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</si>
  <si>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</si>
  <si>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</si>
  <si>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</si>
  <si>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</si>
  <si>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</si>
  <si>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</si>
  <si>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</si>
  <si>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</si>
  <si>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</si>
  <si>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</si>
  <si>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</si>
  <si>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</si>
  <si>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</si>
  <si>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</si>
  <si>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</si>
  <si>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</si>
  <si>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</si>
  <si>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</si>
  <si>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</si>
  <si>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</si>
  <si>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</si>
  <si>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</si>
  <si>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</si>
  <si>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</si>
  <si>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</si>
  <si>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</si>
  <si>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</si>
  <si>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</si>
  <si>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</si>
  <si>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</si>
  <si>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</si>
  <si>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</si>
  <si>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</si>
  <si>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</si>
  <si>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</si>
  <si>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</si>
  <si>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</si>
  <si>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</si>
  <si>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</si>
  <si>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</si>
  <si>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</si>
  <si>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</si>
  <si>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</si>
  <si>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</si>
  <si>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</si>
  <si>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</si>
  <si>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</si>
  <si>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</si>
  <si>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</si>
  <si>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</si>
  <si>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</si>
  <si>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</si>
  <si>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</si>
  <si>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</si>
  <si>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</si>
  <si>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</si>
  <si>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</si>
  <si>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</si>
  <si>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</si>
  <si>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</si>
  <si>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</si>
  <si>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</si>
  <si>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</si>
  <si>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</si>
  <si>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</si>
  <si>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</si>
  <si>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</si>
  <si>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</si>
  <si>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</si>
  <si>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</si>
  <si>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</si>
  <si>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</si>
  <si>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</si>
  <si>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</si>
  <si>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</si>
  <si>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</si>
  <si>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</si>
  <si>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</si>
  <si>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</si>
  <si>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</si>
  <si>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</si>
  <si>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</si>
  <si>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</si>
  <si>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</si>
  <si>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</si>
  <si>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</si>
  <si>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</si>
  <si>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</si>
  <si>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</si>
  <si>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</si>
  <si>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</si>
  <si>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</si>
  <si>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</si>
  <si>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</si>
  <si>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</si>
  <si>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</si>
  <si>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</si>
  <si>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</si>
  <si>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</si>
  <si>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</si>
  <si>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</si>
  <si>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</si>
  <si>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</si>
  <si>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</si>
  <si>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</si>
  <si>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</si>
  <si>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</si>
  <si>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</si>
  <si>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</si>
  <si>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</si>
  <si>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</si>
  <si>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</si>
  <si>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</si>
  <si>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</si>
  <si>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</si>
  <si>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</si>
  <si>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</si>
  <si>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</si>
  <si>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</si>
  <si>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</si>
  <si>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</si>
  <si>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</si>
  <si>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</si>
  <si>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</si>
  <si>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</si>
  <si>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</si>
  <si>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</si>
  <si>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</si>
  <si>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</si>
  <si>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</si>
  <si>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</si>
  <si>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</si>
  <si>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</si>
  <si>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</si>
  <si>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</si>
  <si>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</si>
  <si>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</si>
  <si>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</si>
  <si>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</si>
  <si>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</si>
  <si>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</si>
  <si>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</si>
  <si>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</si>
  <si>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</si>
  <si>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</si>
  <si>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</si>
  <si>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</si>
  <si>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</si>
  <si>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</si>
  <si>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</si>
  <si>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</si>
  <si>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</si>
  <si>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</si>
  <si>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</si>
  <si>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</si>
  <si>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</si>
  <si>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</si>
  <si>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</si>
  <si>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</si>
  <si>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</si>
  <si>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</si>
  <si>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</si>
  <si>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</si>
  <si>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</si>
  <si>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</si>
  <si>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</si>
  <si>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</si>
  <si>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</si>
  <si>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</si>
  <si>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</si>
  <si>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</si>
  <si>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</si>
  <si>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</si>
  <si>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</si>
  <si>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</si>
  <si>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</si>
  <si>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</si>
  <si>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</si>
  <si>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</si>
  <si>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</si>
  <si>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</si>
  <si>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</si>
  <si>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</si>
  <si>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</si>
  <si>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</si>
  <si>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</si>
  <si>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</si>
  <si>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</si>
  <si>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</si>
  <si>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</si>
  <si>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</si>
  <si>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</si>
  <si>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</si>
  <si>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</si>
  <si>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</si>
  <si>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</si>
  <si>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</si>
  <si>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</si>
  <si>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</si>
  <si>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</si>
  <si>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</si>
  <si>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</si>
  <si>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</si>
  <si>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</si>
  <si>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</si>
  <si>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</si>
  <si>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</si>
  <si>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</si>
  <si>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</si>
  <si>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</si>
  <si>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</si>
  <si>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</si>
  <si>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</si>
  <si>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</si>
  <si>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</si>
  <si>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</si>
  <si>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</si>
  <si>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</si>
  <si>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</si>
  <si>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</si>
  <si>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</si>
  <si>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</si>
  <si>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</si>
  <si>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</si>
  <si>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</si>
  <si>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</si>
  <si>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</si>
  <si>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</si>
  <si>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</si>
  <si>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</si>
  <si>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</si>
  <si>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</si>
  <si>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</si>
  <si>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</si>
  <si>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</si>
  <si>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</si>
  <si>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</si>
  <si>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</si>
  <si>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</si>
  <si>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</si>
  <si>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</si>
  <si>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</si>
  <si>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</si>
  <si>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</si>
  <si>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</si>
  <si>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</si>
  <si>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</si>
  <si>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</si>
  <si>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</si>
  <si>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</si>
  <si>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</si>
  <si>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</si>
  <si>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</si>
  <si>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</si>
  <si>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</si>
  <si>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</si>
  <si>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</si>
  <si>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</si>
  <si>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</si>
  <si>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</si>
  <si>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</si>
  <si>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</si>
  <si>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</si>
  <si>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</si>
  <si>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</si>
  <si>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</si>
  <si>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</si>
  <si>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</si>
  <si>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</si>
  <si>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</si>
  <si>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</si>
  <si>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</si>
  <si>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</si>
  <si>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</si>
  <si>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</si>
  <si>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</si>
  <si>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</si>
  <si>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</si>
  <si>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</si>
  <si>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</si>
  <si>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</si>
  <si>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</si>
  <si>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</si>
  <si>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</si>
  <si>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</si>
  <si>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</si>
  <si>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</si>
  <si>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</si>
  <si>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</si>
  <si>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</si>
  <si>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</si>
  <si>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</si>
  <si>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</si>
  <si>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</si>
  <si>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</si>
  <si>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</si>
  <si>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</si>
  <si>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</si>
  <si>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</si>
  <si>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</si>
  <si>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</si>
  <si>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</si>
  <si>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</si>
  <si>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</si>
  <si>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</si>
  <si>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</si>
  <si>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</si>
  <si>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</si>
  <si>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</si>
  <si>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</si>
  <si>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</si>
  <si>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</si>
  <si>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</si>
  <si>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</si>
  <si>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</si>
  <si>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</si>
  <si>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</si>
  <si>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</si>
  <si>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</si>
  <si>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</si>
  <si>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</si>
  <si>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</si>
  <si>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</si>
  <si>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</si>
  <si>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</si>
  <si>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</si>
  <si>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</si>
  <si>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</si>
  <si>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</si>
  <si>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</si>
  <si>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</si>
  <si>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</si>
  <si>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</si>
  <si>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</si>
  <si>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</si>
  <si>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</si>
  <si>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</si>
  <si>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</si>
  <si>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</si>
  <si>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</si>
  <si>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</si>
  <si>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</si>
  <si>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</si>
  <si>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</si>
  <si>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</si>
  <si>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</si>
  <si>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</si>
  <si>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</si>
  <si>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</si>
  <si>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</si>
  <si>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</si>
  <si>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</si>
  <si>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</si>
  <si>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</si>
  <si>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</si>
  <si>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</si>
  <si>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</si>
  <si>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</si>
  <si>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</si>
  <si>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</si>
  <si>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</si>
  <si>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</si>
  <si>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</si>
  <si>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</si>
  <si>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</si>
  <si>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</si>
  <si>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</si>
  <si>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</si>
  <si>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</si>
  <si>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</si>
  <si>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</si>
  <si>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</si>
  <si>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</si>
  <si>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</si>
  <si>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</si>
  <si>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</si>
  <si>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</si>
  <si>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</si>
  <si>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</si>
  <si>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</si>
  <si>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</si>
  <si>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</si>
  <si>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</si>
  <si>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</si>
  <si>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</si>
  <si>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</si>
  <si>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</si>
  <si>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</si>
  <si>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</si>
  <si>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</si>
  <si>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</si>
  <si>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</si>
  <si>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</si>
  <si>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</si>
  <si>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</si>
  <si>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</si>
  <si>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</si>
  <si>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</si>
  <si>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</si>
  <si>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</si>
  <si>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</si>
  <si>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</si>
  <si>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</si>
  <si>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</si>
  <si>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</si>
  <si>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</si>
  <si>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</si>
  <si>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</si>
  <si>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</si>
  <si>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</si>
  <si>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</si>
  <si>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</si>
  <si>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</si>
  <si>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</si>
  <si>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</si>
  <si>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</si>
  <si>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</si>
  <si>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</si>
  <si>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</si>
  <si>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</si>
  <si>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</si>
  <si>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</si>
  <si>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</si>
  <si>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</si>
  <si>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</si>
  <si>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</si>
  <si>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</si>
  <si>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</si>
  <si>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</si>
  <si>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</si>
  <si>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</si>
  <si>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</si>
  <si>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</si>
  <si>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</si>
  <si>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</si>
  <si>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</si>
  <si>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</si>
  <si>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</si>
  <si>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</si>
  <si>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</si>
  <si>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</si>
  <si>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</si>
  <si>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</si>
  <si>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</si>
  <si>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</si>
  <si>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</si>
  <si>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</si>
  <si>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</si>
  <si>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</si>
  <si>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</si>
  <si>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</si>
  <si>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</si>
  <si>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</si>
  <si>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</si>
  <si>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</si>
  <si>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</si>
  <si>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</si>
  <si>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</si>
  <si>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</si>
  <si>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</si>
  <si>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</si>
  <si>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</si>
  <si>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</si>
  <si>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</si>
  <si>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</si>
  <si>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</si>
  <si>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</si>
  <si>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</si>
  <si>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</si>
  <si>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</si>
  <si>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</si>
  <si>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</si>
  <si>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</si>
  <si>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</si>
  <si>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</si>
  <si>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</si>
  <si>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</si>
  <si>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</si>
  <si>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</si>
  <si>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</si>
  <si>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</si>
  <si>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</si>
  <si>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</si>
  <si>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</si>
  <si>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</si>
  <si>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</si>
  <si>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</si>
  <si>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</si>
  <si>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</si>
  <si>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</si>
  <si>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</si>
  <si>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</si>
  <si>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</si>
  <si>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</si>
  <si>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</si>
  <si>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</si>
  <si>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</si>
  <si>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</si>
  <si>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</si>
  <si>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</si>
  <si>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</si>
  <si>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</si>
  <si>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</si>
  <si>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</si>
  <si>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</si>
  <si>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</si>
  <si>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</si>
  <si>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</si>
  <si>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</si>
  <si>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</si>
  <si>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</si>
  <si>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</si>
  <si>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</si>
  <si>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</si>
  <si>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</si>
  <si>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</si>
  <si>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</si>
  <si>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</si>
  <si>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</si>
  <si>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</si>
  <si>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</si>
  <si>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</si>
  <si>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</si>
  <si>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</si>
  <si>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</si>
  <si>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</si>
  <si>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</si>
  <si>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</si>
  <si>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</si>
  <si>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</si>
  <si>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</si>
  <si>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</si>
  <si>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</si>
  <si>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</si>
  <si>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</si>
  <si>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</si>
  <si>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</si>
  <si>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</si>
  <si>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</si>
  <si>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</si>
  <si>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</si>
  <si>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</si>
  <si>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</si>
  <si>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</si>
  <si>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</si>
  <si>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</si>
  <si>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</si>
  <si>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</si>
  <si>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</si>
  <si>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</si>
  <si>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</si>
  <si>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</si>
  <si>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</si>
  <si>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</si>
  <si>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</si>
  <si>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</si>
  <si>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</si>
  <si>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</si>
  <si>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</si>
  <si>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</si>
  <si>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</si>
  <si>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</si>
  <si>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</si>
  <si>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</si>
  <si>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</si>
  <si>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</si>
  <si>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</si>
  <si>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</si>
  <si>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</si>
  <si>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</si>
  <si>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</si>
  <si>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</si>
  <si>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</si>
  <si>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</si>
  <si>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</si>
  <si>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</si>
  <si>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</si>
  <si>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</si>
  <si>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</si>
  <si>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</si>
  <si>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</si>
  <si>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</si>
  <si>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</si>
  <si>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</si>
  <si>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</si>
  <si>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</si>
  <si>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</si>
  <si>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</si>
  <si>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</si>
  <si>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</si>
  <si>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</si>
  <si>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</si>
  <si>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</si>
  <si>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</si>
  <si>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</si>
  <si>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</si>
  <si>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</si>
  <si>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</si>
  <si>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</si>
  <si>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</si>
  <si>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</si>
  <si>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</si>
  <si>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</si>
  <si>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</si>
  <si>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</si>
  <si>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</si>
  <si>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</si>
  <si>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</si>
  <si>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</si>
  <si>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</si>
  <si>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</si>
  <si>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</si>
  <si>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</si>
  <si>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</si>
  <si>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</si>
  <si>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</si>
  <si>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</si>
  <si>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13040</t>
  </si>
  <si>
    <t>TURNHOUT</t>
  </si>
  <si>
    <t>Paarden&amp;pony's 200 - 600 kg</t>
  </si>
  <si>
    <t>Paarden&amp;pony's &lt; 200 kg</t>
  </si>
  <si>
    <t>Fluvius</t>
  </si>
  <si>
    <t>referentietaak LNE (2017); Jaarverslag De Lijn</t>
  </si>
  <si>
    <t>Sunnyland Distribution nv</t>
  </si>
  <si>
    <t>Everdongenlaan 12 , 2300 Turnhout</t>
  </si>
  <si>
    <t>WKK-0310 Sunnyland</t>
  </si>
  <si>
    <t>interne verbrandingsmotor</t>
  </si>
  <si>
    <t>WKK interne verbrandinsgmotor (gas)</t>
  </si>
  <si>
    <t>IVEKA</t>
  </si>
  <si>
    <t>De Nieuwe Kaai vzw</t>
  </si>
  <si>
    <t>Nieuwe Kaai 5 , 2300 Turnhout</t>
  </si>
  <si>
    <t>WKK-0414 Croonenburg</t>
  </si>
  <si>
    <t>stirlingmotor</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</si>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</sst>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13040</v>
      </c>
      <c r="B6" s="386"/>
      <c r="C6" s="387"/>
    </row>
    <row r="7" spans="1:7" s="384" customFormat="1" ht="15.75" customHeight="1">
      <c r="A7" s="388" t="str">
        <f>txtMunicipality</f>
        <v>TURNHOUT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94170.413701138314</v>
      </c>
      <c r="D10" s="676">
        <f ca="1">tertiair!C16</f>
        <v>175</v>
      </c>
      <c r="E10" s="676">
        <f ca="1">tertiair!D16</f>
        <v>120805.64289187662</v>
      </c>
      <c r="F10" s="676">
        <f>tertiair!E16</f>
        <v>744.07401762172276</v>
      </c>
      <c r="G10" s="676">
        <f ca="1">tertiair!F16</f>
        <v>19788.038044884575</v>
      </c>
      <c r="H10" s="676">
        <f>tertiair!G16</f>
        <v>0</v>
      </c>
      <c r="I10" s="676">
        <f>tertiair!H16</f>
        <v>0</v>
      </c>
      <c r="J10" s="676">
        <f>tertiair!I16</f>
        <v>0</v>
      </c>
      <c r="K10" s="676">
        <f>tertiair!J16</f>
        <v>0</v>
      </c>
      <c r="L10" s="676">
        <f>tertiair!K16</f>
        <v>0</v>
      </c>
      <c r="M10" s="676">
        <f ca="1">tertiair!L16</f>
        <v>0</v>
      </c>
      <c r="N10" s="676">
        <f>tertiair!M16</f>
        <v>0</v>
      </c>
      <c r="O10" s="676">
        <f ca="1">tertiair!N16</f>
        <v>63.067418497015751</v>
      </c>
      <c r="P10" s="676">
        <f>tertiair!O16</f>
        <v>6.2533333333333339</v>
      </c>
      <c r="Q10" s="677">
        <f>tertiair!P16</f>
        <v>95.333333333333343</v>
      </c>
      <c r="R10" s="679">
        <f ca="1">SUM(C10:Q10)</f>
        <v>235847.8227406849</v>
      </c>
      <c r="S10" s="68"/>
    </row>
    <row r="11" spans="1:19" s="445" customFormat="1">
      <c r="A11" s="791" t="s">
        <v>220</v>
      </c>
      <c r="B11" s="796"/>
      <c r="C11" s="676">
        <f>huishoudens!B8</f>
        <v>61130.277694607837</v>
      </c>
      <c r="D11" s="676">
        <f>huishoudens!C8</f>
        <v>0</v>
      </c>
      <c r="E11" s="676">
        <f>huishoudens!D8</f>
        <v>251518.50774498828</v>
      </c>
      <c r="F11" s="676">
        <f>huishoudens!E8</f>
        <v>1520.9387041436744</v>
      </c>
      <c r="G11" s="676">
        <f>huishoudens!F8</f>
        <v>46369.005354295077</v>
      </c>
      <c r="H11" s="676">
        <f>huishoudens!G8</f>
        <v>0</v>
      </c>
      <c r="I11" s="676">
        <f>huishoudens!H8</f>
        <v>0</v>
      </c>
      <c r="J11" s="676">
        <f>huishoudens!I8</f>
        <v>0</v>
      </c>
      <c r="K11" s="676">
        <f>huishoudens!J8</f>
        <v>841.34944506694364</v>
      </c>
      <c r="L11" s="676">
        <f>huishoudens!K8</f>
        <v>0</v>
      </c>
      <c r="M11" s="676">
        <f>huishoudens!L8</f>
        <v>0</v>
      </c>
      <c r="N11" s="676">
        <f>huishoudens!M8</f>
        <v>0</v>
      </c>
      <c r="O11" s="676">
        <f>huishoudens!N8</f>
        <v>24688.61270969937</v>
      </c>
      <c r="P11" s="676">
        <f>huishoudens!O8</f>
        <v>181.34666666666669</v>
      </c>
      <c r="Q11" s="677">
        <f>huishoudens!P8</f>
        <v>324.13333333333333</v>
      </c>
      <c r="R11" s="679">
        <f>SUM(C11:Q11)</f>
        <v>386574.17165280122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197832.26526424248</v>
      </c>
      <c r="D13" s="676">
        <f>industrie!C18</f>
        <v>8839.2857142857138</v>
      </c>
      <c r="E13" s="676">
        <f>industrie!D18</f>
        <v>146035.17308623641</v>
      </c>
      <c r="F13" s="676">
        <f>industrie!E18</f>
        <v>2481.8355146552335</v>
      </c>
      <c r="G13" s="676">
        <f>industrie!F18</f>
        <v>39937.013293315373</v>
      </c>
      <c r="H13" s="676">
        <f>industrie!G18</f>
        <v>0</v>
      </c>
      <c r="I13" s="676">
        <f>industrie!H18</f>
        <v>0</v>
      </c>
      <c r="J13" s="676">
        <f>industrie!I18</f>
        <v>0</v>
      </c>
      <c r="K13" s="676">
        <f>industrie!J18</f>
        <v>643.85319099048695</v>
      </c>
      <c r="L13" s="676">
        <f>industrie!K18</f>
        <v>0</v>
      </c>
      <c r="M13" s="676">
        <f>industrie!L18</f>
        <v>0</v>
      </c>
      <c r="N13" s="676">
        <f>industrie!M18</f>
        <v>0</v>
      </c>
      <c r="O13" s="676">
        <f>industrie!N18</f>
        <v>16195.582979203358</v>
      </c>
      <c r="P13" s="676">
        <f>industrie!O18</f>
        <v>0</v>
      </c>
      <c r="Q13" s="677">
        <f>industrie!P18</f>
        <v>0</v>
      </c>
      <c r="R13" s="679">
        <f>SUM(C13:Q13)</f>
        <v>411965.00904292904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353132.95665998862</v>
      </c>
      <c r="D16" s="709">
        <f t="shared" ref="D16:R16" ca="1" si="0">SUM(D9:D15)</f>
        <v>9014.2857142857138</v>
      </c>
      <c r="E16" s="709">
        <f t="shared" ca="1" si="0"/>
        <v>518359.32372310129</v>
      </c>
      <c r="F16" s="709">
        <f t="shared" si="0"/>
        <v>4746.8482364206302</v>
      </c>
      <c r="G16" s="709">
        <f t="shared" ca="1" si="0"/>
        <v>106094.05669249501</v>
      </c>
      <c r="H16" s="709">
        <f t="shared" si="0"/>
        <v>0</v>
      </c>
      <c r="I16" s="709">
        <f t="shared" si="0"/>
        <v>0</v>
      </c>
      <c r="J16" s="709">
        <f t="shared" si="0"/>
        <v>0</v>
      </c>
      <c r="K16" s="709">
        <f t="shared" si="0"/>
        <v>1485.2026360574305</v>
      </c>
      <c r="L16" s="709">
        <f t="shared" si="0"/>
        <v>0</v>
      </c>
      <c r="M16" s="709">
        <f t="shared" ca="1" si="0"/>
        <v>0</v>
      </c>
      <c r="N16" s="709">
        <f t="shared" si="0"/>
        <v>0</v>
      </c>
      <c r="O16" s="709">
        <f t="shared" ca="1" si="0"/>
        <v>40947.263107399747</v>
      </c>
      <c r="P16" s="709">
        <f t="shared" si="0"/>
        <v>187.60000000000002</v>
      </c>
      <c r="Q16" s="709">
        <f t="shared" si="0"/>
        <v>419.4666666666667</v>
      </c>
      <c r="R16" s="709">
        <f t="shared" ca="1" si="0"/>
        <v>1034387.0034364151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27.447027441820886</v>
      </c>
      <c r="D19" s="676">
        <f>transport!C54</f>
        <v>0</v>
      </c>
      <c r="E19" s="676">
        <f>transport!D54</f>
        <v>0</v>
      </c>
      <c r="F19" s="676">
        <f>transport!E54</f>
        <v>0</v>
      </c>
      <c r="G19" s="676">
        <f>transport!F54</f>
        <v>0</v>
      </c>
      <c r="H19" s="676">
        <f>transport!G54</f>
        <v>5474.3637368793834</v>
      </c>
      <c r="I19" s="676">
        <f>transport!H54</f>
        <v>0</v>
      </c>
      <c r="J19" s="676">
        <f>transport!I54</f>
        <v>0</v>
      </c>
      <c r="K19" s="676">
        <f>transport!J54</f>
        <v>0</v>
      </c>
      <c r="L19" s="676">
        <f>transport!K54</f>
        <v>0</v>
      </c>
      <c r="M19" s="676">
        <f>transport!L54</f>
        <v>0</v>
      </c>
      <c r="N19" s="676">
        <f>transport!M54</f>
        <v>241.96104664540067</v>
      </c>
      <c r="O19" s="676">
        <f>transport!N54</f>
        <v>0</v>
      </c>
      <c r="P19" s="676">
        <f>transport!O54</f>
        <v>0</v>
      </c>
      <c r="Q19" s="677">
        <f>transport!P54</f>
        <v>0</v>
      </c>
      <c r="R19" s="679">
        <f>SUM(C19:Q19)</f>
        <v>5743.7718109666048</v>
      </c>
      <c r="S19" s="68"/>
    </row>
    <row r="20" spans="1:19" s="445" customFormat="1">
      <c r="A20" s="791" t="s">
        <v>302</v>
      </c>
      <c r="B20" s="796"/>
      <c r="C20" s="676">
        <f>transport!B14</f>
        <v>10.091354529785765</v>
      </c>
      <c r="D20" s="676">
        <f>transport!C14</f>
        <v>0</v>
      </c>
      <c r="E20" s="676">
        <f>transport!D14</f>
        <v>11.984445131077356</v>
      </c>
      <c r="F20" s="676">
        <f>transport!E14</f>
        <v>808.79586795818773</v>
      </c>
      <c r="G20" s="676">
        <f>transport!F14</f>
        <v>0</v>
      </c>
      <c r="H20" s="676">
        <f>transport!G14</f>
        <v>199154.38453539982</v>
      </c>
      <c r="I20" s="676">
        <f>transport!H14</f>
        <v>29313.0798389105</v>
      </c>
      <c r="J20" s="676">
        <f>transport!I14</f>
        <v>0</v>
      </c>
      <c r="K20" s="676">
        <f>transport!J14</f>
        <v>0</v>
      </c>
      <c r="L20" s="676">
        <f>transport!K14</f>
        <v>0</v>
      </c>
      <c r="M20" s="676">
        <f>transport!L14</f>
        <v>0</v>
      </c>
      <c r="N20" s="676">
        <f>transport!M14</f>
        <v>10204.199861305124</v>
      </c>
      <c r="O20" s="676">
        <f>transport!N14</f>
        <v>0</v>
      </c>
      <c r="P20" s="676">
        <f>transport!O14</f>
        <v>0</v>
      </c>
      <c r="Q20" s="677">
        <f>transport!P14</f>
        <v>0</v>
      </c>
      <c r="R20" s="679">
        <f>SUM(C20:Q20)</f>
        <v>239502.53590323447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37.538381971606654</v>
      </c>
      <c r="D22" s="794">
        <f t="shared" ref="D22:R22" si="1">SUM(D18:D21)</f>
        <v>0</v>
      </c>
      <c r="E22" s="794">
        <f t="shared" si="1"/>
        <v>11.984445131077356</v>
      </c>
      <c r="F22" s="794">
        <f t="shared" si="1"/>
        <v>808.79586795818773</v>
      </c>
      <c r="G22" s="794">
        <f t="shared" si="1"/>
        <v>0</v>
      </c>
      <c r="H22" s="794">
        <f t="shared" si="1"/>
        <v>204628.74827227919</v>
      </c>
      <c r="I22" s="794">
        <f t="shared" si="1"/>
        <v>29313.0798389105</v>
      </c>
      <c r="J22" s="794">
        <f t="shared" si="1"/>
        <v>0</v>
      </c>
      <c r="K22" s="794">
        <f t="shared" si="1"/>
        <v>0</v>
      </c>
      <c r="L22" s="794">
        <f t="shared" si="1"/>
        <v>0</v>
      </c>
      <c r="M22" s="794">
        <f t="shared" si="1"/>
        <v>0</v>
      </c>
      <c r="N22" s="794">
        <f t="shared" si="1"/>
        <v>10446.160907950525</v>
      </c>
      <c r="O22" s="794">
        <f t="shared" si="1"/>
        <v>0</v>
      </c>
      <c r="P22" s="794">
        <f t="shared" si="1"/>
        <v>0</v>
      </c>
      <c r="Q22" s="794">
        <f t="shared" si="1"/>
        <v>0</v>
      </c>
      <c r="R22" s="794">
        <f t="shared" si="1"/>
        <v>245246.30771420107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1621.1987164093582</v>
      </c>
      <c r="D24" s="676">
        <f>+landbouw!C8</f>
        <v>0</v>
      </c>
      <c r="E24" s="676">
        <f>+landbouw!D8</f>
        <v>3260.4621287740119</v>
      </c>
      <c r="F24" s="676">
        <f>+landbouw!E8</f>
        <v>15.272778147348145</v>
      </c>
      <c r="G24" s="676">
        <f>+landbouw!F8</f>
        <v>5290.5094402462846</v>
      </c>
      <c r="H24" s="676">
        <f>+landbouw!G8</f>
        <v>0</v>
      </c>
      <c r="I24" s="676">
        <f>+landbouw!H8</f>
        <v>0</v>
      </c>
      <c r="J24" s="676">
        <f>+landbouw!I8</f>
        <v>0</v>
      </c>
      <c r="K24" s="676">
        <f>+landbouw!J8</f>
        <v>200.55016672887947</v>
      </c>
      <c r="L24" s="676">
        <f>+landbouw!K8</f>
        <v>0</v>
      </c>
      <c r="M24" s="676">
        <f>+landbouw!L8</f>
        <v>0</v>
      </c>
      <c r="N24" s="676">
        <f>+landbouw!M8</f>
        <v>0</v>
      </c>
      <c r="O24" s="676">
        <f>+landbouw!N8</f>
        <v>0</v>
      </c>
      <c r="P24" s="676">
        <f>+landbouw!O8</f>
        <v>0</v>
      </c>
      <c r="Q24" s="677">
        <f>+landbouw!P8</f>
        <v>0</v>
      </c>
      <c r="R24" s="679">
        <f>SUM(C24:Q24)</f>
        <v>10387.993230305881</v>
      </c>
      <c r="S24" s="68"/>
    </row>
    <row r="25" spans="1:19" s="445" customFormat="1" ht="15" thickBot="1">
      <c r="A25" s="813" t="s">
        <v>879</v>
      </c>
      <c r="B25" s="979"/>
      <c r="C25" s="980">
        <f>IF(Onbekend_ele_kWh="---",0,Onbekend_ele_kWh)/1000+IF(REST_rest_ele_kWh="---",0,REST_rest_ele_kWh)/1000</f>
        <v>2669.31016809216</v>
      </c>
      <c r="D25" s="980"/>
      <c r="E25" s="980">
        <f>IF(onbekend_gas_kWh="---",0,onbekend_gas_kWh)/1000+IF(REST_rest_gas_kWh="---",0,REST_rest_gas_kWh)/1000</f>
        <v>14993.929915626099</v>
      </c>
      <c r="F25" s="980"/>
      <c r="G25" s="980"/>
      <c r="H25" s="980"/>
      <c r="I25" s="980"/>
      <c r="J25" s="980"/>
      <c r="K25" s="980"/>
      <c r="L25" s="980"/>
      <c r="M25" s="980"/>
      <c r="N25" s="980"/>
      <c r="O25" s="980"/>
      <c r="P25" s="980"/>
      <c r="Q25" s="981"/>
      <c r="R25" s="679">
        <f>SUM(C25:Q25)</f>
        <v>17663.240083718258</v>
      </c>
      <c r="S25" s="68"/>
    </row>
    <row r="26" spans="1:19" s="445" customFormat="1" ht="15.75" thickBot="1">
      <c r="A26" s="682" t="s">
        <v>880</v>
      </c>
      <c r="B26" s="799"/>
      <c r="C26" s="794">
        <f>SUM(C24:C25)</f>
        <v>4290.508884501518</v>
      </c>
      <c r="D26" s="794">
        <f t="shared" ref="D26:R26" si="2">SUM(D24:D25)</f>
        <v>0</v>
      </c>
      <c r="E26" s="794">
        <f t="shared" si="2"/>
        <v>18254.392044400112</v>
      </c>
      <c r="F26" s="794">
        <f t="shared" si="2"/>
        <v>15.272778147348145</v>
      </c>
      <c r="G26" s="794">
        <f t="shared" si="2"/>
        <v>5290.5094402462846</v>
      </c>
      <c r="H26" s="794">
        <f t="shared" si="2"/>
        <v>0</v>
      </c>
      <c r="I26" s="794">
        <f t="shared" si="2"/>
        <v>0</v>
      </c>
      <c r="J26" s="794">
        <f t="shared" si="2"/>
        <v>0</v>
      </c>
      <c r="K26" s="794">
        <f t="shared" si="2"/>
        <v>200.55016672887947</v>
      </c>
      <c r="L26" s="794">
        <f t="shared" si="2"/>
        <v>0</v>
      </c>
      <c r="M26" s="794">
        <f t="shared" si="2"/>
        <v>0</v>
      </c>
      <c r="N26" s="794">
        <f t="shared" si="2"/>
        <v>0</v>
      </c>
      <c r="O26" s="794">
        <f t="shared" si="2"/>
        <v>0</v>
      </c>
      <c r="P26" s="794">
        <f t="shared" si="2"/>
        <v>0</v>
      </c>
      <c r="Q26" s="794">
        <f t="shared" si="2"/>
        <v>0</v>
      </c>
      <c r="R26" s="794">
        <f t="shared" si="2"/>
        <v>28051.233314024139</v>
      </c>
      <c r="S26" s="68"/>
    </row>
    <row r="27" spans="1:19" s="445" customFormat="1" ht="17.25" thickTop="1" thickBot="1">
      <c r="A27" s="683" t="s">
        <v>115</v>
      </c>
      <c r="B27" s="786"/>
      <c r="C27" s="684">
        <f ca="1">C22+C16+C26</f>
        <v>357461.00392646174</v>
      </c>
      <c r="D27" s="684">
        <f t="shared" ref="D27:R27" ca="1" si="3">D22+D16+D26</f>
        <v>9014.2857142857138</v>
      </c>
      <c r="E27" s="684">
        <f t="shared" ca="1" si="3"/>
        <v>536625.70021263254</v>
      </c>
      <c r="F27" s="684">
        <f t="shared" si="3"/>
        <v>5570.9168825261659</v>
      </c>
      <c r="G27" s="684">
        <f t="shared" ca="1" si="3"/>
        <v>111384.5661327413</v>
      </c>
      <c r="H27" s="684">
        <f t="shared" si="3"/>
        <v>204628.74827227919</v>
      </c>
      <c r="I27" s="684">
        <f t="shared" si="3"/>
        <v>29313.0798389105</v>
      </c>
      <c r="J27" s="684">
        <f t="shared" si="3"/>
        <v>0</v>
      </c>
      <c r="K27" s="684">
        <f t="shared" si="3"/>
        <v>1685.75280278631</v>
      </c>
      <c r="L27" s="684">
        <f t="shared" si="3"/>
        <v>0</v>
      </c>
      <c r="M27" s="684">
        <f t="shared" ca="1" si="3"/>
        <v>0</v>
      </c>
      <c r="N27" s="684">
        <f t="shared" si="3"/>
        <v>10446.160907950525</v>
      </c>
      <c r="O27" s="684">
        <f t="shared" ca="1" si="3"/>
        <v>40947.263107399747</v>
      </c>
      <c r="P27" s="684">
        <f t="shared" si="3"/>
        <v>187.60000000000002</v>
      </c>
      <c r="Q27" s="684">
        <f t="shared" si="3"/>
        <v>419.4666666666667</v>
      </c>
      <c r="R27" s="684">
        <f t="shared" ca="1" si="3"/>
        <v>1307684.5444646403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20083.934276319909</v>
      </c>
      <c r="D40" s="676">
        <f ca="1">tertiair!C20</f>
        <v>41.55639156490011</v>
      </c>
      <c r="E40" s="676">
        <f ca="1">tertiair!D20</f>
        <v>24402.739864159077</v>
      </c>
      <c r="F40" s="676">
        <f>tertiair!E20</f>
        <v>168.90480200013107</v>
      </c>
      <c r="G40" s="676">
        <f ca="1">tertiair!F20</f>
        <v>5283.4061579841818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49980.541492028198</v>
      </c>
    </row>
    <row r="41" spans="1:18">
      <c r="A41" s="804" t="s">
        <v>220</v>
      </c>
      <c r="B41" s="811"/>
      <c r="C41" s="676">
        <f ca="1">huishoudens!B12</f>
        <v>13037.390739389391</v>
      </c>
      <c r="D41" s="676">
        <f ca="1">huishoudens!C12</f>
        <v>0</v>
      </c>
      <c r="E41" s="676">
        <f>huishoudens!D12</f>
        <v>50806.738564487634</v>
      </c>
      <c r="F41" s="676">
        <f>huishoudens!E12</f>
        <v>345.25308584061412</v>
      </c>
      <c r="G41" s="676">
        <f>huishoudens!F12</f>
        <v>12380.524429596786</v>
      </c>
      <c r="H41" s="676">
        <f>huishoudens!G12</f>
        <v>0</v>
      </c>
      <c r="I41" s="676">
        <f>huishoudens!H12</f>
        <v>0</v>
      </c>
      <c r="J41" s="676">
        <f>huishoudens!I12</f>
        <v>0</v>
      </c>
      <c r="K41" s="676">
        <f>huishoudens!J12</f>
        <v>297.83770355369802</v>
      </c>
      <c r="L41" s="676">
        <f>huishoudens!K12</f>
        <v>0</v>
      </c>
      <c r="M41" s="676">
        <f>huishoudens!L12</f>
        <v>0</v>
      </c>
      <c r="N41" s="676">
        <f>huishoudens!M12</f>
        <v>0</v>
      </c>
      <c r="O41" s="676">
        <f>huishoudens!N12</f>
        <v>0</v>
      </c>
      <c r="P41" s="676">
        <f>huishoudens!O12</f>
        <v>0</v>
      </c>
      <c r="Q41" s="751">
        <f>huishoudens!P12</f>
        <v>0</v>
      </c>
      <c r="R41" s="832">
        <f t="shared" ca="1" si="4"/>
        <v>76867.744522868132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42192.128686108808</v>
      </c>
      <c r="D43" s="676">
        <f ca="1">industrie!C22</f>
        <v>2099.0218188393424</v>
      </c>
      <c r="E43" s="676">
        <f>industrie!D22</f>
        <v>29499.104963419755</v>
      </c>
      <c r="F43" s="676">
        <f>industrie!E22</f>
        <v>563.37666182673797</v>
      </c>
      <c r="G43" s="676">
        <f>industrie!F22</f>
        <v>10663.182549315205</v>
      </c>
      <c r="H43" s="676">
        <f>industrie!G22</f>
        <v>0</v>
      </c>
      <c r="I43" s="676">
        <f>industrie!H22</f>
        <v>0</v>
      </c>
      <c r="J43" s="676">
        <f>industrie!I22</f>
        <v>0</v>
      </c>
      <c r="K43" s="676">
        <f>industrie!J22</f>
        <v>227.92402961063237</v>
      </c>
      <c r="L43" s="676">
        <f>industrie!K22</f>
        <v>0</v>
      </c>
      <c r="M43" s="676">
        <f>industrie!L22</f>
        <v>0</v>
      </c>
      <c r="N43" s="676">
        <f>industrie!M22</f>
        <v>0</v>
      </c>
      <c r="O43" s="676">
        <f>industrie!N22</f>
        <v>0</v>
      </c>
      <c r="P43" s="676">
        <f>industrie!O22</f>
        <v>0</v>
      </c>
      <c r="Q43" s="751">
        <f>industrie!P22</f>
        <v>0</v>
      </c>
      <c r="R43" s="831">
        <f t="shared" ca="1" si="4"/>
        <v>85244.738709120473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75313.4537018181</v>
      </c>
      <c r="D46" s="709">
        <f t="shared" ref="D46:Q46" ca="1" si="5">SUM(D39:D45)</f>
        <v>2140.5782104042423</v>
      </c>
      <c r="E46" s="709">
        <f t="shared" ca="1" si="5"/>
        <v>104708.58339206647</v>
      </c>
      <c r="F46" s="709">
        <f t="shared" si="5"/>
        <v>1077.5345496674831</v>
      </c>
      <c r="G46" s="709">
        <f t="shared" ca="1" si="5"/>
        <v>28327.113136896172</v>
      </c>
      <c r="H46" s="709">
        <f t="shared" si="5"/>
        <v>0</v>
      </c>
      <c r="I46" s="709">
        <f t="shared" si="5"/>
        <v>0</v>
      </c>
      <c r="J46" s="709">
        <f t="shared" si="5"/>
        <v>0</v>
      </c>
      <c r="K46" s="709">
        <f t="shared" si="5"/>
        <v>525.76173316433039</v>
      </c>
      <c r="L46" s="709">
        <f t="shared" si="5"/>
        <v>0</v>
      </c>
      <c r="M46" s="709">
        <f t="shared" ca="1" si="5"/>
        <v>0</v>
      </c>
      <c r="N46" s="709">
        <f t="shared" si="5"/>
        <v>0</v>
      </c>
      <c r="O46" s="709">
        <f t="shared" ca="1" si="5"/>
        <v>0</v>
      </c>
      <c r="P46" s="709">
        <f t="shared" si="5"/>
        <v>0</v>
      </c>
      <c r="Q46" s="709">
        <f t="shared" si="5"/>
        <v>0</v>
      </c>
      <c r="R46" s="709">
        <f ca="1">SUM(R39:R45)</f>
        <v>212093.02472401678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5.8536887920161726</v>
      </c>
      <c r="D49" s="676">
        <f ca="1">transport!C58</f>
        <v>0</v>
      </c>
      <c r="E49" s="676">
        <f>transport!D58</f>
        <v>0</v>
      </c>
      <c r="F49" s="676">
        <f>transport!E58</f>
        <v>0</v>
      </c>
      <c r="G49" s="676">
        <f>transport!F58</f>
        <v>0</v>
      </c>
      <c r="H49" s="676">
        <f>transport!G58</f>
        <v>1461.6551177467954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1467.5088065388115</v>
      </c>
    </row>
    <row r="50" spans="1:18">
      <c r="A50" s="807" t="s">
        <v>302</v>
      </c>
      <c r="B50" s="817"/>
      <c r="C50" s="986">
        <f ca="1">transport!B18</f>
        <v>2.1522056999608421</v>
      </c>
      <c r="D50" s="986">
        <f>transport!C18</f>
        <v>0</v>
      </c>
      <c r="E50" s="986">
        <f>transport!D18</f>
        <v>2.420857916477626</v>
      </c>
      <c r="F50" s="986">
        <f>transport!E18</f>
        <v>183.59666202650862</v>
      </c>
      <c r="G50" s="986">
        <f>transport!F18</f>
        <v>0</v>
      </c>
      <c r="H50" s="986">
        <f>transport!G18</f>
        <v>53174.220670951756</v>
      </c>
      <c r="I50" s="986">
        <f>transport!H18</f>
        <v>7298.9568798887149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60661.347276483415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8.0058944919770152</v>
      </c>
      <c r="D52" s="709">
        <f t="shared" ref="D52:Q52" ca="1" si="6">SUM(D48:D51)</f>
        <v>0</v>
      </c>
      <c r="E52" s="709">
        <f t="shared" si="6"/>
        <v>2.420857916477626</v>
      </c>
      <c r="F52" s="709">
        <f t="shared" si="6"/>
        <v>183.59666202650862</v>
      </c>
      <c r="G52" s="709">
        <f t="shared" si="6"/>
        <v>0</v>
      </c>
      <c r="H52" s="709">
        <f t="shared" si="6"/>
        <v>54635.875788698555</v>
      </c>
      <c r="I52" s="709">
        <f t="shared" si="6"/>
        <v>7298.9568798887149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62128.856083022227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345.75666803963679</v>
      </c>
      <c r="D54" s="986">
        <f ca="1">+landbouw!C12</f>
        <v>0</v>
      </c>
      <c r="E54" s="986">
        <f>+landbouw!D12</f>
        <v>658.61335001235045</v>
      </c>
      <c r="F54" s="986">
        <f>+landbouw!E12</f>
        <v>3.4669206394480292</v>
      </c>
      <c r="G54" s="986">
        <f>+landbouw!F12</f>
        <v>1412.566020545758</v>
      </c>
      <c r="H54" s="986">
        <f>+landbouw!G12</f>
        <v>0</v>
      </c>
      <c r="I54" s="986">
        <f>+landbouw!H12</f>
        <v>0</v>
      </c>
      <c r="J54" s="986">
        <f>+landbouw!I12</f>
        <v>0</v>
      </c>
      <c r="K54" s="986">
        <f>+landbouw!J12</f>
        <v>70.994759022023331</v>
      </c>
      <c r="L54" s="986">
        <f>+landbouw!K12</f>
        <v>0</v>
      </c>
      <c r="M54" s="986">
        <f>+landbouw!L12</f>
        <v>0</v>
      </c>
      <c r="N54" s="986">
        <f>+landbouw!M12</f>
        <v>0</v>
      </c>
      <c r="O54" s="986">
        <f>+landbouw!N12</f>
        <v>0</v>
      </c>
      <c r="P54" s="986">
        <f>+landbouw!O12</f>
        <v>0</v>
      </c>
      <c r="Q54" s="987">
        <f>+landbouw!P12</f>
        <v>0</v>
      </c>
      <c r="R54" s="708">
        <f ca="1">SUM(C54:Q54)</f>
        <v>2491.3977182592166</v>
      </c>
    </row>
    <row r="55" spans="1:18" ht="15" thickBot="1">
      <c r="A55" s="807" t="s">
        <v>879</v>
      </c>
      <c r="B55" s="817"/>
      <c r="C55" s="986">
        <f ca="1">C25*'EF ele_warmte'!B12</f>
        <v>569.28973625638173</v>
      </c>
      <c r="D55" s="986"/>
      <c r="E55" s="986">
        <f>E25*EF_CO2_aardgas</f>
        <v>3028.773842956472</v>
      </c>
      <c r="F55" s="986"/>
      <c r="G55" s="986"/>
      <c r="H55" s="986"/>
      <c r="I55" s="986"/>
      <c r="J55" s="986"/>
      <c r="K55" s="986"/>
      <c r="L55" s="986"/>
      <c r="M55" s="986"/>
      <c r="N55" s="986"/>
      <c r="O55" s="986"/>
      <c r="P55" s="986"/>
      <c r="Q55" s="987"/>
      <c r="R55" s="708">
        <f ca="1">SUM(C55:Q55)</f>
        <v>3598.0635792128537</v>
      </c>
    </row>
    <row r="56" spans="1:18" ht="15.75" thickBot="1">
      <c r="A56" s="805" t="s">
        <v>880</v>
      </c>
      <c r="B56" s="818"/>
      <c r="C56" s="709">
        <f ca="1">SUM(C54:C55)</f>
        <v>915.04640429601852</v>
      </c>
      <c r="D56" s="709">
        <f t="shared" ref="D56:Q56" ca="1" si="7">SUM(D54:D55)</f>
        <v>0</v>
      </c>
      <c r="E56" s="709">
        <f t="shared" si="7"/>
        <v>3687.3871929688225</v>
      </c>
      <c r="F56" s="709">
        <f t="shared" si="7"/>
        <v>3.4669206394480292</v>
      </c>
      <c r="G56" s="709">
        <f t="shared" si="7"/>
        <v>1412.566020545758</v>
      </c>
      <c r="H56" s="709">
        <f t="shared" si="7"/>
        <v>0</v>
      </c>
      <c r="I56" s="709">
        <f t="shared" si="7"/>
        <v>0</v>
      </c>
      <c r="J56" s="709">
        <f t="shared" si="7"/>
        <v>0</v>
      </c>
      <c r="K56" s="709">
        <f t="shared" si="7"/>
        <v>70.994759022023331</v>
      </c>
      <c r="L56" s="709">
        <f t="shared" si="7"/>
        <v>0</v>
      </c>
      <c r="M56" s="709">
        <f t="shared" si="7"/>
        <v>0</v>
      </c>
      <c r="N56" s="709">
        <f t="shared" si="7"/>
        <v>0</v>
      </c>
      <c r="O56" s="709">
        <f t="shared" si="7"/>
        <v>0</v>
      </c>
      <c r="P56" s="709">
        <f t="shared" si="7"/>
        <v>0</v>
      </c>
      <c r="Q56" s="710">
        <f t="shared" si="7"/>
        <v>0</v>
      </c>
      <c r="R56" s="711">
        <f ca="1">SUM(R54:R55)</f>
        <v>6089.4612974720703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76236.506000606096</v>
      </c>
      <c r="D61" s="717">
        <f t="shared" ref="D61:Q61" ca="1" si="8">D46+D52+D56</f>
        <v>2140.5782104042423</v>
      </c>
      <c r="E61" s="717">
        <f t="shared" ca="1" si="8"/>
        <v>108398.39144295178</v>
      </c>
      <c r="F61" s="717">
        <f t="shared" si="8"/>
        <v>1264.5981323334397</v>
      </c>
      <c r="G61" s="717">
        <f t="shared" ca="1" si="8"/>
        <v>29739.679157441929</v>
      </c>
      <c r="H61" s="717">
        <f t="shared" si="8"/>
        <v>54635.875788698555</v>
      </c>
      <c r="I61" s="717">
        <f t="shared" si="8"/>
        <v>7298.9568798887149</v>
      </c>
      <c r="J61" s="717">
        <f t="shared" si="8"/>
        <v>0</v>
      </c>
      <c r="K61" s="717">
        <f t="shared" si="8"/>
        <v>596.75649218635374</v>
      </c>
      <c r="L61" s="717">
        <f t="shared" si="8"/>
        <v>0</v>
      </c>
      <c r="M61" s="717">
        <f t="shared" ca="1" si="8"/>
        <v>0</v>
      </c>
      <c r="N61" s="717">
        <f t="shared" si="8"/>
        <v>0</v>
      </c>
      <c r="O61" s="717">
        <f t="shared" ca="1" si="8"/>
        <v>0</v>
      </c>
      <c r="P61" s="717">
        <f t="shared" si="8"/>
        <v>0</v>
      </c>
      <c r="Q61" s="717">
        <f t="shared" si="8"/>
        <v>0</v>
      </c>
      <c r="R61" s="717">
        <f ca="1">R46+R52+R56</f>
        <v>280311.34210451104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0.21327223155309485</v>
      </c>
      <c r="D63" s="761">
        <f t="shared" ca="1" si="9"/>
        <v>0.23746509465657206</v>
      </c>
      <c r="E63" s="988">
        <f t="shared" ca="1" si="9"/>
        <v>0.20200000000000001</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11622.031306074548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6222.5</v>
      </c>
      <c r="D76" s="998">
        <f>'lokale energieproductie'!C8</f>
        <v>7314.9829282203946</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1477.6265515005198</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3831.4285714285716</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12963.031306074548</v>
      </c>
      <c r="C78" s="732">
        <f>SUM(C72:C77)</f>
        <v>6222.5</v>
      </c>
      <c r="D78" s="733">
        <f t="shared" ref="D78:H78" si="10">SUM(D76:D77)</f>
        <v>7314.9829282203946</v>
      </c>
      <c r="E78" s="733">
        <f t="shared" si="10"/>
        <v>0</v>
      </c>
      <c r="F78" s="733">
        <f t="shared" si="10"/>
        <v>0</v>
      </c>
      <c r="G78" s="733">
        <f t="shared" si="10"/>
        <v>0</v>
      </c>
      <c r="H78" s="733">
        <f t="shared" si="10"/>
        <v>0</v>
      </c>
      <c r="I78" s="733">
        <f>SUM(I76:I77)</f>
        <v>0</v>
      </c>
      <c r="J78" s="733">
        <f>SUM(J76:J77)</f>
        <v>3831.4285714285716</v>
      </c>
      <c r="K78" s="733">
        <f t="shared" ref="K78:L78" si="11">SUM(K76:K77)</f>
        <v>0</v>
      </c>
      <c r="L78" s="733">
        <f t="shared" si="11"/>
        <v>0</v>
      </c>
      <c r="M78" s="733">
        <f>SUM(M76:M77)</f>
        <v>0</v>
      </c>
      <c r="N78" s="733">
        <f>SUM(N76:N77)</f>
        <v>0</v>
      </c>
      <c r="O78" s="842">
        <f>SUM(O76:O77)</f>
        <v>0</v>
      </c>
      <c r="P78" s="734">
        <v>0</v>
      </c>
      <c r="Q78" s="734">
        <f>SUM(Q76:Q77)</f>
        <v>1477.6265515005198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9014.2857142857138</v>
      </c>
      <c r="D87" s="754">
        <f>'lokale energieproductie'!C17</f>
        <v>10596.921833684368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2140.5782104042423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9014.2857142857138</v>
      </c>
      <c r="D90" s="732">
        <f t="shared" ref="D90:H90" si="12">SUM(D87:D89)</f>
        <v>10596.921833684368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2140.5782104042423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61130.277694607837</v>
      </c>
      <c r="C4" s="449">
        <f>huishoudens!C8</f>
        <v>0</v>
      </c>
      <c r="D4" s="449">
        <f>huishoudens!D8</f>
        <v>251518.50774498828</v>
      </c>
      <c r="E4" s="449">
        <f>huishoudens!E8</f>
        <v>1520.9387041436744</v>
      </c>
      <c r="F4" s="449">
        <f>huishoudens!F8</f>
        <v>46369.005354295077</v>
      </c>
      <c r="G4" s="449">
        <f>huishoudens!G8</f>
        <v>0</v>
      </c>
      <c r="H4" s="449">
        <f>huishoudens!H8</f>
        <v>0</v>
      </c>
      <c r="I4" s="449">
        <f>huishoudens!I8</f>
        <v>0</v>
      </c>
      <c r="J4" s="449">
        <f>huishoudens!J8</f>
        <v>841.34944506694364</v>
      </c>
      <c r="K4" s="449">
        <f>huishoudens!K8</f>
        <v>0</v>
      </c>
      <c r="L4" s="449">
        <f>huishoudens!L8</f>
        <v>0</v>
      </c>
      <c r="M4" s="449">
        <f>huishoudens!M8</f>
        <v>0</v>
      </c>
      <c r="N4" s="449">
        <f>huishoudens!N8</f>
        <v>24688.61270969937</v>
      </c>
      <c r="O4" s="449">
        <f>huishoudens!O8</f>
        <v>181.34666666666669</v>
      </c>
      <c r="P4" s="450">
        <f>huishoudens!P8</f>
        <v>324.13333333333333</v>
      </c>
      <c r="Q4" s="451">
        <f>SUM(B4:P4)</f>
        <v>386574.17165280122</v>
      </c>
    </row>
    <row r="5" spans="1:17">
      <c r="A5" s="448" t="s">
        <v>155</v>
      </c>
      <c r="B5" s="449">
        <f ca="1">tertiair!B16</f>
        <v>91666.028701138319</v>
      </c>
      <c r="C5" s="449">
        <f ca="1">tertiair!C16</f>
        <v>175</v>
      </c>
      <c r="D5" s="449">
        <f ca="1">tertiair!D16</f>
        <v>120805.64289187662</v>
      </c>
      <c r="E5" s="449">
        <f>tertiair!E16</f>
        <v>744.07401762172276</v>
      </c>
      <c r="F5" s="449">
        <f ca="1">tertiair!F16</f>
        <v>19788.038044884575</v>
      </c>
      <c r="G5" s="449">
        <f>tertiair!G16</f>
        <v>0</v>
      </c>
      <c r="H5" s="449">
        <f>tertiair!H16</f>
        <v>0</v>
      </c>
      <c r="I5" s="449">
        <f>tertiair!I16</f>
        <v>0</v>
      </c>
      <c r="J5" s="449">
        <f>tertiair!J16</f>
        <v>0</v>
      </c>
      <c r="K5" s="449">
        <f>tertiair!K16</f>
        <v>0</v>
      </c>
      <c r="L5" s="449">
        <f ca="1">tertiair!L16</f>
        <v>0</v>
      </c>
      <c r="M5" s="449">
        <f>tertiair!M16</f>
        <v>0</v>
      </c>
      <c r="N5" s="449">
        <f ca="1">tertiair!N16</f>
        <v>63.067418497015751</v>
      </c>
      <c r="O5" s="449">
        <f>tertiair!O16</f>
        <v>6.2533333333333339</v>
      </c>
      <c r="P5" s="450">
        <f>tertiair!P16</f>
        <v>95.333333333333343</v>
      </c>
      <c r="Q5" s="448">
        <f t="shared" ref="Q5:Q14" ca="1" si="0">SUM(B5:P5)</f>
        <v>233343.43774068492</v>
      </c>
    </row>
    <row r="6" spans="1:17">
      <c r="A6" s="448" t="s">
        <v>193</v>
      </c>
      <c r="B6" s="449">
        <f>'openbare verlichting'!B8</f>
        <v>2504.3850000000002</v>
      </c>
      <c r="C6" s="449"/>
      <c r="D6" s="449"/>
      <c r="E6" s="449"/>
      <c r="F6" s="449"/>
      <c r="G6" s="449"/>
      <c r="H6" s="449"/>
      <c r="I6" s="449"/>
      <c r="J6" s="449"/>
      <c r="K6" s="449"/>
      <c r="L6" s="449"/>
      <c r="M6" s="449"/>
      <c r="N6" s="449"/>
      <c r="O6" s="449"/>
      <c r="P6" s="450"/>
      <c r="Q6" s="448">
        <f t="shared" si="0"/>
        <v>2504.3850000000002</v>
      </c>
    </row>
    <row r="7" spans="1:17">
      <c r="A7" s="448" t="s">
        <v>111</v>
      </c>
      <c r="B7" s="449">
        <f>landbouw!B8</f>
        <v>1621.1987164093582</v>
      </c>
      <c r="C7" s="449">
        <f>landbouw!C8</f>
        <v>0</v>
      </c>
      <c r="D7" s="449">
        <f>landbouw!D8</f>
        <v>3260.4621287740119</v>
      </c>
      <c r="E7" s="449">
        <f>landbouw!E8</f>
        <v>15.272778147348145</v>
      </c>
      <c r="F7" s="449">
        <f>landbouw!F8</f>
        <v>5290.5094402462846</v>
      </c>
      <c r="G7" s="449">
        <f>landbouw!G8</f>
        <v>0</v>
      </c>
      <c r="H7" s="449">
        <f>landbouw!H8</f>
        <v>0</v>
      </c>
      <c r="I7" s="449">
        <f>landbouw!I8</f>
        <v>0</v>
      </c>
      <c r="J7" s="449">
        <f>landbouw!J8</f>
        <v>200.55016672887947</v>
      </c>
      <c r="K7" s="449">
        <f>landbouw!K8</f>
        <v>0</v>
      </c>
      <c r="L7" s="449">
        <f>landbouw!L8</f>
        <v>0</v>
      </c>
      <c r="M7" s="449">
        <f>landbouw!M8</f>
        <v>0</v>
      </c>
      <c r="N7" s="449">
        <f>landbouw!N8</f>
        <v>0</v>
      </c>
      <c r="O7" s="449">
        <f>landbouw!O8</f>
        <v>0</v>
      </c>
      <c r="P7" s="450">
        <f>landbouw!P8</f>
        <v>0</v>
      </c>
      <c r="Q7" s="448">
        <f t="shared" si="0"/>
        <v>10387.993230305881</v>
      </c>
    </row>
    <row r="8" spans="1:17">
      <c r="A8" s="448" t="s">
        <v>671</v>
      </c>
      <c r="B8" s="449">
        <f>industrie!B18</f>
        <v>197832.26526424248</v>
      </c>
      <c r="C8" s="449">
        <f>industrie!C18</f>
        <v>8839.2857142857138</v>
      </c>
      <c r="D8" s="449">
        <f>industrie!D18</f>
        <v>146035.17308623641</v>
      </c>
      <c r="E8" s="449">
        <f>industrie!E18</f>
        <v>2481.8355146552335</v>
      </c>
      <c r="F8" s="449">
        <f>industrie!F18</f>
        <v>39937.013293315373</v>
      </c>
      <c r="G8" s="449">
        <f>industrie!G18</f>
        <v>0</v>
      </c>
      <c r="H8" s="449">
        <f>industrie!H18</f>
        <v>0</v>
      </c>
      <c r="I8" s="449">
        <f>industrie!I18</f>
        <v>0</v>
      </c>
      <c r="J8" s="449">
        <f>industrie!J18</f>
        <v>643.85319099048695</v>
      </c>
      <c r="K8" s="449">
        <f>industrie!K18</f>
        <v>0</v>
      </c>
      <c r="L8" s="449">
        <f>industrie!L18</f>
        <v>0</v>
      </c>
      <c r="M8" s="449">
        <f>industrie!M18</f>
        <v>0</v>
      </c>
      <c r="N8" s="449">
        <f>industrie!N18</f>
        <v>16195.582979203358</v>
      </c>
      <c r="O8" s="449">
        <f>industrie!O18</f>
        <v>0</v>
      </c>
      <c r="P8" s="450">
        <f>industrie!P18</f>
        <v>0</v>
      </c>
      <c r="Q8" s="448">
        <f t="shared" si="0"/>
        <v>411965.00904292904</v>
      </c>
    </row>
    <row r="9" spans="1:17" s="454" customFormat="1">
      <c r="A9" s="452" t="s">
        <v>568</v>
      </c>
      <c r="B9" s="453">
        <f>transport!B14</f>
        <v>10.091354529785765</v>
      </c>
      <c r="C9" s="453">
        <f>transport!C14</f>
        <v>0</v>
      </c>
      <c r="D9" s="453">
        <f>transport!D14</f>
        <v>11.984445131077356</v>
      </c>
      <c r="E9" s="453">
        <f>transport!E14</f>
        <v>808.79586795818773</v>
      </c>
      <c r="F9" s="453">
        <f>transport!F14</f>
        <v>0</v>
      </c>
      <c r="G9" s="453">
        <f>transport!G14</f>
        <v>199154.38453539982</v>
      </c>
      <c r="H9" s="453">
        <f>transport!H14</f>
        <v>29313.0798389105</v>
      </c>
      <c r="I9" s="453">
        <f>transport!I14</f>
        <v>0</v>
      </c>
      <c r="J9" s="453">
        <f>transport!J14</f>
        <v>0</v>
      </c>
      <c r="K9" s="453">
        <f>transport!K14</f>
        <v>0</v>
      </c>
      <c r="L9" s="453">
        <f>transport!L14</f>
        <v>0</v>
      </c>
      <c r="M9" s="453">
        <f>transport!M14</f>
        <v>10204.199861305124</v>
      </c>
      <c r="N9" s="453">
        <f>transport!N14</f>
        <v>0</v>
      </c>
      <c r="O9" s="453">
        <f>transport!O14</f>
        <v>0</v>
      </c>
      <c r="P9" s="453">
        <f>transport!P14</f>
        <v>0</v>
      </c>
      <c r="Q9" s="452">
        <f>SUM(B9:P9)</f>
        <v>239502.53590323447</v>
      </c>
    </row>
    <row r="10" spans="1:17">
      <c r="A10" s="448" t="s">
        <v>558</v>
      </c>
      <c r="B10" s="449">
        <f>transport!B54</f>
        <v>27.447027441820886</v>
      </c>
      <c r="C10" s="449">
        <f>transport!C54</f>
        <v>0</v>
      </c>
      <c r="D10" s="449">
        <f>transport!D54</f>
        <v>0</v>
      </c>
      <c r="E10" s="449">
        <f>transport!E54</f>
        <v>0</v>
      </c>
      <c r="F10" s="449">
        <f>transport!F54</f>
        <v>0</v>
      </c>
      <c r="G10" s="449">
        <f>transport!G54</f>
        <v>5474.3637368793834</v>
      </c>
      <c r="H10" s="449">
        <f>transport!H54</f>
        <v>0</v>
      </c>
      <c r="I10" s="449">
        <f>transport!I54</f>
        <v>0</v>
      </c>
      <c r="J10" s="449">
        <f>transport!J54</f>
        <v>0</v>
      </c>
      <c r="K10" s="449">
        <f>transport!K54</f>
        <v>0</v>
      </c>
      <c r="L10" s="449">
        <f>transport!L54</f>
        <v>0</v>
      </c>
      <c r="M10" s="449">
        <f>transport!M54</f>
        <v>241.96104664540067</v>
      </c>
      <c r="N10" s="449">
        <f>transport!N54</f>
        <v>0</v>
      </c>
      <c r="O10" s="449">
        <f>transport!O54</f>
        <v>0</v>
      </c>
      <c r="P10" s="450">
        <f>transport!P54</f>
        <v>0</v>
      </c>
      <c r="Q10" s="448">
        <f t="shared" si="0"/>
        <v>5743.7718109666048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2669.31016809216</v>
      </c>
      <c r="C14" s="456"/>
      <c r="D14" s="456">
        <f>'SEAP template'!E25</f>
        <v>14993.929915626099</v>
      </c>
      <c r="E14" s="456"/>
      <c r="F14" s="456"/>
      <c r="G14" s="456"/>
      <c r="H14" s="456"/>
      <c r="I14" s="456"/>
      <c r="J14" s="456"/>
      <c r="K14" s="456"/>
      <c r="L14" s="456"/>
      <c r="M14" s="456"/>
      <c r="N14" s="456"/>
      <c r="O14" s="456"/>
      <c r="P14" s="457"/>
      <c r="Q14" s="448">
        <f t="shared" si="0"/>
        <v>17663.240083718258</v>
      </c>
    </row>
    <row r="15" spans="1:17" s="461" customFormat="1">
      <c r="A15" s="458" t="s">
        <v>562</v>
      </c>
      <c r="B15" s="459">
        <f ca="1">SUM(B4:B14)</f>
        <v>357461.00392646174</v>
      </c>
      <c r="C15" s="459">
        <f t="shared" ref="C15:Q15" ca="1" si="1">SUM(C4:C14)</f>
        <v>9014.2857142857138</v>
      </c>
      <c r="D15" s="459">
        <f t="shared" ca="1" si="1"/>
        <v>536625.70021263254</v>
      </c>
      <c r="E15" s="459">
        <f t="shared" si="1"/>
        <v>5570.9168825261668</v>
      </c>
      <c r="F15" s="459">
        <f t="shared" ca="1" si="1"/>
        <v>111384.56613274131</v>
      </c>
      <c r="G15" s="459">
        <f t="shared" si="1"/>
        <v>204628.74827227919</v>
      </c>
      <c r="H15" s="459">
        <f t="shared" si="1"/>
        <v>29313.0798389105</v>
      </c>
      <c r="I15" s="459">
        <f t="shared" si="1"/>
        <v>0</v>
      </c>
      <c r="J15" s="459">
        <f t="shared" si="1"/>
        <v>1685.75280278631</v>
      </c>
      <c r="K15" s="459">
        <f t="shared" si="1"/>
        <v>0</v>
      </c>
      <c r="L15" s="459">
        <f t="shared" ca="1" si="1"/>
        <v>0</v>
      </c>
      <c r="M15" s="459">
        <f t="shared" si="1"/>
        <v>10446.160907950525</v>
      </c>
      <c r="N15" s="459">
        <f t="shared" ca="1" si="1"/>
        <v>40947.263107399747</v>
      </c>
      <c r="O15" s="459">
        <f t="shared" si="1"/>
        <v>187.60000000000002</v>
      </c>
      <c r="P15" s="459">
        <f t="shared" si="1"/>
        <v>419.4666666666667</v>
      </c>
      <c r="Q15" s="459">
        <f t="shared" ca="1" si="1"/>
        <v>1307684.5444646403</v>
      </c>
    </row>
    <row r="17" spans="1:17">
      <c r="A17" s="462" t="s">
        <v>563</v>
      </c>
      <c r="B17" s="766">
        <f ca="1">huishoudens!B10</f>
        <v>0.21327223155309485</v>
      </c>
      <c r="C17" s="766">
        <f ca="1">huishoudens!C10</f>
        <v>0.23746509465657206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13037.390739389391</v>
      </c>
      <c r="C22" s="449">
        <f t="shared" ref="C22:C32" ca="1" si="3">C4*$C$17</f>
        <v>0</v>
      </c>
      <c r="D22" s="449">
        <f t="shared" ref="D22:D32" si="4">D4*$D$17</f>
        <v>50806.738564487634</v>
      </c>
      <c r="E22" s="449">
        <f t="shared" ref="E22:E32" si="5">E4*$E$17</f>
        <v>345.25308584061412</v>
      </c>
      <c r="F22" s="449">
        <f t="shared" ref="F22:F32" si="6">F4*$F$17</f>
        <v>12380.524429596786</v>
      </c>
      <c r="G22" s="449">
        <f t="shared" ref="G22:G32" si="7">G4*$G$17</f>
        <v>0</v>
      </c>
      <c r="H22" s="449">
        <f t="shared" ref="H22:H32" si="8">H4*$H$17</f>
        <v>0</v>
      </c>
      <c r="I22" s="449">
        <f t="shared" ref="I22:I32" si="9">I4*$I$17</f>
        <v>0</v>
      </c>
      <c r="J22" s="449">
        <f t="shared" ref="J22:J32" si="10">J4*$J$17</f>
        <v>297.83770355369802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76867.744522868132</v>
      </c>
    </row>
    <row r="23" spans="1:17">
      <c r="A23" s="448" t="s">
        <v>155</v>
      </c>
      <c r="B23" s="449">
        <f t="shared" ca="1" si="2"/>
        <v>19549.81849870181</v>
      </c>
      <c r="C23" s="449">
        <f t="shared" ca="1" si="3"/>
        <v>41.55639156490011</v>
      </c>
      <c r="D23" s="449">
        <f t="shared" ca="1" si="4"/>
        <v>24402.739864159077</v>
      </c>
      <c r="E23" s="449">
        <f t="shared" si="5"/>
        <v>168.90480200013107</v>
      </c>
      <c r="F23" s="449">
        <f t="shared" ca="1" si="6"/>
        <v>5283.4061579841818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49446.425714410092</v>
      </c>
    </row>
    <row r="24" spans="1:17">
      <c r="A24" s="448" t="s">
        <v>193</v>
      </c>
      <c r="B24" s="449">
        <f t="shared" ca="1" si="2"/>
        <v>534.11577761809747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534.11577761809747</v>
      </c>
    </row>
    <row r="25" spans="1:17">
      <c r="A25" s="448" t="s">
        <v>111</v>
      </c>
      <c r="B25" s="449">
        <f t="shared" ca="1" si="2"/>
        <v>345.75666803963679</v>
      </c>
      <c r="C25" s="449">
        <f t="shared" ca="1" si="3"/>
        <v>0</v>
      </c>
      <c r="D25" s="449">
        <f t="shared" si="4"/>
        <v>658.61335001235045</v>
      </c>
      <c r="E25" s="449">
        <f t="shared" si="5"/>
        <v>3.4669206394480292</v>
      </c>
      <c r="F25" s="449">
        <f t="shared" si="6"/>
        <v>1412.566020545758</v>
      </c>
      <c r="G25" s="449">
        <f t="shared" si="7"/>
        <v>0</v>
      </c>
      <c r="H25" s="449">
        <f t="shared" si="8"/>
        <v>0</v>
      </c>
      <c r="I25" s="449">
        <f t="shared" si="9"/>
        <v>0</v>
      </c>
      <c r="J25" s="449">
        <f t="shared" si="10"/>
        <v>70.994759022023331</v>
      </c>
      <c r="K25" s="449">
        <f t="shared" si="11"/>
        <v>0</v>
      </c>
      <c r="L25" s="449">
        <f t="shared" si="12"/>
        <v>0</v>
      </c>
      <c r="M25" s="449">
        <f t="shared" si="13"/>
        <v>0</v>
      </c>
      <c r="N25" s="449">
        <f t="shared" si="14"/>
        <v>0</v>
      </c>
      <c r="O25" s="449">
        <f t="shared" si="15"/>
        <v>0</v>
      </c>
      <c r="P25" s="450">
        <f t="shared" si="16"/>
        <v>0</v>
      </c>
      <c r="Q25" s="448">
        <f t="shared" ca="1" si="17"/>
        <v>2491.3977182592166</v>
      </c>
    </row>
    <row r="26" spans="1:17">
      <c r="A26" s="448" t="s">
        <v>671</v>
      </c>
      <c r="B26" s="449">
        <f t="shared" ca="1" si="2"/>
        <v>42192.128686108808</v>
      </c>
      <c r="C26" s="449">
        <f t="shared" ca="1" si="3"/>
        <v>2099.0218188393424</v>
      </c>
      <c r="D26" s="449">
        <f t="shared" si="4"/>
        <v>29499.104963419755</v>
      </c>
      <c r="E26" s="449">
        <f t="shared" si="5"/>
        <v>563.37666182673797</v>
      </c>
      <c r="F26" s="449">
        <f t="shared" si="6"/>
        <v>10663.182549315205</v>
      </c>
      <c r="G26" s="449">
        <f t="shared" si="7"/>
        <v>0</v>
      </c>
      <c r="H26" s="449">
        <f t="shared" si="8"/>
        <v>0</v>
      </c>
      <c r="I26" s="449">
        <f t="shared" si="9"/>
        <v>0</v>
      </c>
      <c r="J26" s="449">
        <f t="shared" si="10"/>
        <v>227.92402961063237</v>
      </c>
      <c r="K26" s="449">
        <f t="shared" si="11"/>
        <v>0</v>
      </c>
      <c r="L26" s="449">
        <f t="shared" si="12"/>
        <v>0</v>
      </c>
      <c r="M26" s="449">
        <f t="shared" si="13"/>
        <v>0</v>
      </c>
      <c r="N26" s="449">
        <f t="shared" si="14"/>
        <v>0</v>
      </c>
      <c r="O26" s="449">
        <f t="shared" si="15"/>
        <v>0</v>
      </c>
      <c r="P26" s="450">
        <f t="shared" si="16"/>
        <v>0</v>
      </c>
      <c r="Q26" s="448">
        <f t="shared" ca="1" si="17"/>
        <v>85244.738709120473</v>
      </c>
    </row>
    <row r="27" spans="1:17" s="454" customFormat="1">
      <c r="A27" s="452" t="s">
        <v>568</v>
      </c>
      <c r="B27" s="760">
        <f t="shared" ca="1" si="2"/>
        <v>2.1522056999608421</v>
      </c>
      <c r="C27" s="453">
        <f t="shared" ca="1" si="3"/>
        <v>0</v>
      </c>
      <c r="D27" s="453">
        <f t="shared" si="4"/>
        <v>2.420857916477626</v>
      </c>
      <c r="E27" s="453">
        <f t="shared" si="5"/>
        <v>183.59666202650862</v>
      </c>
      <c r="F27" s="453">
        <f t="shared" si="6"/>
        <v>0</v>
      </c>
      <c r="G27" s="453">
        <f t="shared" si="7"/>
        <v>53174.220670951756</v>
      </c>
      <c r="H27" s="453">
        <f t="shared" si="8"/>
        <v>7298.9568798887149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60661.347276483415</v>
      </c>
    </row>
    <row r="28" spans="1:17">
      <c r="A28" s="448" t="s">
        <v>558</v>
      </c>
      <c r="B28" s="449">
        <f t="shared" ca="1" si="2"/>
        <v>5.8536887920161726</v>
      </c>
      <c r="C28" s="449">
        <f t="shared" ca="1" si="3"/>
        <v>0</v>
      </c>
      <c r="D28" s="449">
        <f t="shared" si="4"/>
        <v>0</v>
      </c>
      <c r="E28" s="449">
        <f t="shared" si="5"/>
        <v>0</v>
      </c>
      <c r="F28" s="449">
        <f t="shared" si="6"/>
        <v>0</v>
      </c>
      <c r="G28" s="449">
        <f t="shared" si="7"/>
        <v>1461.6551177467954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1467.5088065388115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569.28973625638173</v>
      </c>
      <c r="C32" s="449">
        <f t="shared" ca="1" si="3"/>
        <v>0</v>
      </c>
      <c r="D32" s="449">
        <f t="shared" si="4"/>
        <v>3028.773842956472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3598.0635792128537</v>
      </c>
    </row>
    <row r="33" spans="1:17" s="461" customFormat="1">
      <c r="A33" s="458" t="s">
        <v>562</v>
      </c>
      <c r="B33" s="459">
        <f ca="1">SUM(B22:B32)</f>
        <v>76236.50600060611</v>
      </c>
      <c r="C33" s="459">
        <f t="shared" ref="C33:Q33" ca="1" si="18">SUM(C22:C32)</f>
        <v>2140.5782104042423</v>
      </c>
      <c r="D33" s="459">
        <f t="shared" ca="1" si="18"/>
        <v>108398.39144295179</v>
      </c>
      <c r="E33" s="459">
        <f t="shared" si="18"/>
        <v>1264.5981323334399</v>
      </c>
      <c r="F33" s="459">
        <f t="shared" ca="1" si="18"/>
        <v>29739.679157441926</v>
      </c>
      <c r="G33" s="459">
        <f t="shared" si="18"/>
        <v>54635.875788698555</v>
      </c>
      <c r="H33" s="459">
        <f t="shared" si="18"/>
        <v>7298.9568798887149</v>
      </c>
      <c r="I33" s="459">
        <f t="shared" si="18"/>
        <v>0</v>
      </c>
      <c r="J33" s="459">
        <f t="shared" si="18"/>
        <v>596.75649218635374</v>
      </c>
      <c r="K33" s="459">
        <f t="shared" si="18"/>
        <v>0</v>
      </c>
      <c r="L33" s="459">
        <f t="shared" ca="1" si="18"/>
        <v>0</v>
      </c>
      <c r="M33" s="459">
        <f t="shared" si="18"/>
        <v>0</v>
      </c>
      <c r="N33" s="459">
        <f t="shared" ca="1" si="18"/>
        <v>0</v>
      </c>
      <c r="O33" s="459">
        <f t="shared" si="18"/>
        <v>0</v>
      </c>
      <c r="P33" s="459">
        <f t="shared" si="18"/>
        <v>0</v>
      </c>
      <c r="Q33" s="459">
        <f t="shared" ca="1" si="18"/>
        <v>280311.3421045111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11622.031306074548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6222.5</v>
      </c>
      <c r="D8" s="1015">
        <f>'SEAP template'!D76</f>
        <v>7314.9829282203946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1477.6265515005198</v>
      </c>
    </row>
    <row r="9" spans="1:16">
      <c r="A9" s="1018" t="s">
        <v>891</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12963.031306074548</v>
      </c>
      <c r="C10" s="1019">
        <f>SUM(C4:C9)</f>
        <v>6222.5</v>
      </c>
      <c r="D10" s="1019">
        <f t="shared" ref="D10:H10" si="0">SUM(D8:D9)</f>
        <v>7314.9829282203946</v>
      </c>
      <c r="E10" s="1019">
        <f t="shared" si="0"/>
        <v>0</v>
      </c>
      <c r="F10" s="1019">
        <f t="shared" si="0"/>
        <v>0</v>
      </c>
      <c r="G10" s="1019">
        <f t="shared" si="0"/>
        <v>0</v>
      </c>
      <c r="H10" s="1019">
        <f t="shared" si="0"/>
        <v>0</v>
      </c>
      <c r="I10" s="1019">
        <f>SUM(I8:I9)</f>
        <v>0</v>
      </c>
      <c r="J10" s="1019">
        <f>SUM(J8:J9)</f>
        <v>3831.4285714285716</v>
      </c>
      <c r="K10" s="1019">
        <f t="shared" ref="K10:L10" si="1">SUM(K8:K9)</f>
        <v>0</v>
      </c>
      <c r="L10" s="1019">
        <f t="shared" si="1"/>
        <v>0</v>
      </c>
      <c r="M10" s="1019">
        <f>SUM(M8:M9)</f>
        <v>0</v>
      </c>
      <c r="N10" s="1019">
        <f>SUM(N8:N9)</f>
        <v>0</v>
      </c>
      <c r="O10" s="1019">
        <f>SUM(O8:O9)</f>
        <v>0</v>
      </c>
      <c r="P10" s="1019">
        <f>SUM(P8:P9)</f>
        <v>1477.6265515005198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0.21327223155309485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9014.2857142857138</v>
      </c>
      <c r="D17" s="1016">
        <f>'SEAP template'!D87</f>
        <v>10596.921833684368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2140.5782104042423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9014.2857142857138</v>
      </c>
      <c r="D20" s="1019">
        <f t="shared" ref="D20:H20" si="2">SUM(D17:D19)</f>
        <v>10596.921833684368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2140.5782104042423</v>
      </c>
    </row>
    <row r="22" spans="1:16">
      <c r="A22" s="462" t="s">
        <v>899</v>
      </c>
      <c r="B22" s="766" t="s">
        <v>893</v>
      </c>
      <c r="C22" s="766">
        <f ca="1">'EF ele_warmte'!B22</f>
        <v>0.23746509465657206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0.21327223155309485</v>
      </c>
      <c r="C17" s="498">
        <f ca="1">'EF ele_warmte'!B22</f>
        <v>0.23746509465657206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0.21327223155309485</v>
      </c>
      <c r="C17" s="498">
        <f ca="1">'EF ele_warmte'!B22</f>
        <v>0.23746509465657206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0.21327223155309485</v>
      </c>
      <c r="C29" s="499">
        <f ca="1">'EF ele_warmte'!B22</f>
        <v>0.23746509465657206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18601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2240</v>
      </c>
      <c r="C14" s="327"/>
      <c r="D14" s="327"/>
      <c r="E14" s="327"/>
      <c r="F14" s="327"/>
    </row>
    <row r="15" spans="1:6">
      <c r="A15" s="1295" t="s">
        <v>183</v>
      </c>
      <c r="B15" s="1296">
        <v>3317</v>
      </c>
      <c r="C15" s="327"/>
      <c r="D15" s="327"/>
      <c r="E15" s="327"/>
      <c r="F15" s="327"/>
    </row>
    <row r="16" spans="1:6">
      <c r="A16" s="1295" t="s">
        <v>6</v>
      </c>
      <c r="B16" s="1296">
        <v>1021</v>
      </c>
      <c r="C16" s="327"/>
      <c r="D16" s="327"/>
      <c r="E16" s="327"/>
      <c r="F16" s="327"/>
    </row>
    <row r="17" spans="1:6">
      <c r="A17" s="1295" t="s">
        <v>7</v>
      </c>
      <c r="B17" s="1296">
        <v>167</v>
      </c>
      <c r="C17" s="327"/>
      <c r="D17" s="327"/>
      <c r="E17" s="327"/>
      <c r="F17" s="327"/>
    </row>
    <row r="18" spans="1:6">
      <c r="A18" s="1295" t="s">
        <v>8</v>
      </c>
      <c r="B18" s="1296">
        <v>572</v>
      </c>
      <c r="C18" s="327"/>
      <c r="D18" s="327"/>
      <c r="E18" s="327"/>
      <c r="F18" s="327"/>
    </row>
    <row r="19" spans="1:6">
      <c r="A19" s="1295" t="s">
        <v>9</v>
      </c>
      <c r="B19" s="1296">
        <v>459</v>
      </c>
      <c r="C19" s="327"/>
      <c r="D19" s="327"/>
      <c r="E19" s="327"/>
      <c r="F19" s="327"/>
    </row>
    <row r="20" spans="1:6">
      <c r="A20" s="1295" t="s">
        <v>10</v>
      </c>
      <c r="B20" s="1296">
        <v>296</v>
      </c>
      <c r="C20" s="327"/>
      <c r="D20" s="327"/>
      <c r="E20" s="327"/>
      <c r="F20" s="327"/>
    </row>
    <row r="21" spans="1:6">
      <c r="A21" s="1295" t="s">
        <v>11</v>
      </c>
      <c r="B21" s="1296">
        <v>1418</v>
      </c>
      <c r="C21" s="327"/>
      <c r="D21" s="327"/>
      <c r="E21" s="327"/>
      <c r="F21" s="327"/>
    </row>
    <row r="22" spans="1:6">
      <c r="A22" s="1295" t="s">
        <v>12</v>
      </c>
      <c r="B22" s="1296">
        <v>3155</v>
      </c>
      <c r="C22" s="327"/>
      <c r="D22" s="327"/>
      <c r="E22" s="327"/>
      <c r="F22" s="327"/>
    </row>
    <row r="23" spans="1:6">
      <c r="A23" s="1295" t="s">
        <v>13</v>
      </c>
      <c r="B23" s="1296">
        <v>45</v>
      </c>
      <c r="C23" s="327"/>
      <c r="D23" s="327"/>
      <c r="E23" s="327"/>
      <c r="F23" s="327"/>
    </row>
    <row r="24" spans="1:6">
      <c r="A24" s="1295" t="s">
        <v>14</v>
      </c>
      <c r="B24" s="1296">
        <v>4</v>
      </c>
      <c r="C24" s="327"/>
      <c r="D24" s="327"/>
      <c r="E24" s="327"/>
      <c r="F24" s="327"/>
    </row>
    <row r="25" spans="1:6">
      <c r="A25" s="1295" t="s">
        <v>15</v>
      </c>
      <c r="B25" s="1296">
        <v>348</v>
      </c>
      <c r="C25" s="327"/>
      <c r="D25" s="327"/>
      <c r="E25" s="327"/>
      <c r="F25" s="327"/>
    </row>
    <row r="26" spans="1:6">
      <c r="A26" s="1295" t="s">
        <v>16</v>
      </c>
      <c r="B26" s="1296">
        <v>47</v>
      </c>
      <c r="C26" s="327"/>
      <c r="D26" s="327"/>
      <c r="E26" s="327"/>
      <c r="F26" s="327"/>
    </row>
    <row r="27" spans="1:6">
      <c r="A27" s="1295" t="s">
        <v>17</v>
      </c>
      <c r="B27" s="1296">
        <v>0</v>
      </c>
      <c r="C27" s="327"/>
      <c r="D27" s="327"/>
      <c r="E27" s="327"/>
      <c r="F27" s="327"/>
    </row>
    <row r="28" spans="1:6" s="44" customFormat="1">
      <c r="A28" s="1297" t="s">
        <v>18</v>
      </c>
      <c r="B28" s="1298">
        <v>433787</v>
      </c>
      <c r="C28" s="333"/>
      <c r="D28" s="333"/>
      <c r="E28" s="333"/>
      <c r="F28" s="333"/>
    </row>
    <row r="29" spans="1:6">
      <c r="A29" s="1297" t="s">
        <v>961</v>
      </c>
      <c r="B29" s="1298">
        <v>122</v>
      </c>
      <c r="C29" s="333"/>
      <c r="D29" s="333"/>
      <c r="E29" s="333"/>
      <c r="F29" s="333"/>
    </row>
    <row r="30" spans="1:6">
      <c r="A30" s="1290" t="s">
        <v>962</v>
      </c>
      <c r="B30" s="1299">
        <v>43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10</v>
      </c>
      <c r="F36" s="1296">
        <v>518387.4521849</v>
      </c>
    </row>
    <row r="37" spans="1:6">
      <c r="A37" s="1295" t="s">
        <v>24</v>
      </c>
      <c r="B37" s="1295" t="s">
        <v>27</v>
      </c>
      <c r="C37" s="1296">
        <v>0</v>
      </c>
      <c r="D37" s="1296">
        <v>0</v>
      </c>
      <c r="E37" s="1296">
        <v>0</v>
      </c>
      <c r="F37" s="1296">
        <v>0</v>
      </c>
    </row>
    <row r="38" spans="1:6">
      <c r="A38" s="1295" t="s">
        <v>24</v>
      </c>
      <c r="B38" s="1295" t="s">
        <v>28</v>
      </c>
      <c r="C38" s="1296">
        <v>4</v>
      </c>
      <c r="D38" s="1296">
        <v>87681.114693802199</v>
      </c>
      <c r="E38" s="1296">
        <v>2</v>
      </c>
      <c r="F38" s="1296">
        <v>56616.426258816602</v>
      </c>
    </row>
    <row r="39" spans="1:6">
      <c r="A39" s="1295" t="s">
        <v>29</v>
      </c>
      <c r="B39" s="1295" t="s">
        <v>30</v>
      </c>
      <c r="C39" s="1296">
        <v>16484</v>
      </c>
      <c r="D39" s="1296">
        <v>278845352.26717103</v>
      </c>
      <c r="E39" s="1296">
        <v>18860</v>
      </c>
      <c r="F39" s="1296">
        <v>57761516.5540566</v>
      </c>
    </row>
    <row r="40" spans="1:6">
      <c r="A40" s="1295" t="s">
        <v>29</v>
      </c>
      <c r="B40" s="1295" t="s">
        <v>28</v>
      </c>
      <c r="C40" s="1296">
        <v>0</v>
      </c>
      <c r="D40" s="1296">
        <v>0</v>
      </c>
      <c r="E40" s="1296">
        <v>0</v>
      </c>
      <c r="F40" s="1296">
        <v>0</v>
      </c>
    </row>
    <row r="41" spans="1:6">
      <c r="A41" s="1295" t="s">
        <v>31</v>
      </c>
      <c r="B41" s="1295" t="s">
        <v>32</v>
      </c>
      <c r="C41" s="1296">
        <v>188</v>
      </c>
      <c r="D41" s="1296">
        <v>5501318.8870712696</v>
      </c>
      <c r="E41" s="1296">
        <v>328</v>
      </c>
      <c r="F41" s="1296">
        <v>9625988.8948252201</v>
      </c>
    </row>
    <row r="42" spans="1:6">
      <c r="A42" s="1295" t="s">
        <v>31</v>
      </c>
      <c r="B42" s="1295" t="s">
        <v>33</v>
      </c>
      <c r="C42" s="1296">
        <v>10</v>
      </c>
      <c r="D42" s="1296">
        <v>9960505.8451443501</v>
      </c>
      <c r="E42" s="1296">
        <v>3</v>
      </c>
      <c r="F42" s="1296">
        <v>4837620.6544730896</v>
      </c>
    </row>
    <row r="43" spans="1:6">
      <c r="A43" s="1295" t="s">
        <v>31</v>
      </c>
      <c r="B43" s="1295" t="s">
        <v>34</v>
      </c>
      <c r="C43" s="1296">
        <v>0</v>
      </c>
      <c r="D43" s="1296">
        <v>0</v>
      </c>
      <c r="E43" s="1296">
        <v>0</v>
      </c>
      <c r="F43" s="1296">
        <v>0</v>
      </c>
    </row>
    <row r="44" spans="1:6">
      <c r="A44" s="1295" t="s">
        <v>31</v>
      </c>
      <c r="B44" s="1295" t="s">
        <v>35</v>
      </c>
      <c r="C44" s="1296">
        <v>8</v>
      </c>
      <c r="D44" s="1296">
        <v>1450797.4721838201</v>
      </c>
      <c r="E44" s="1296">
        <v>21</v>
      </c>
      <c r="F44" s="1296">
        <v>606138.11461545201</v>
      </c>
    </row>
    <row r="45" spans="1:6">
      <c r="A45" s="1295" t="s">
        <v>31</v>
      </c>
      <c r="B45" s="1295" t="s">
        <v>36</v>
      </c>
      <c r="C45" s="1296">
        <v>0</v>
      </c>
      <c r="D45" s="1296">
        <v>0</v>
      </c>
      <c r="E45" s="1296">
        <v>4</v>
      </c>
      <c r="F45" s="1296">
        <v>545060.05901575799</v>
      </c>
    </row>
    <row r="46" spans="1:6">
      <c r="A46" s="1295" t="s">
        <v>31</v>
      </c>
      <c r="B46" s="1295" t="s">
        <v>37</v>
      </c>
      <c r="C46" s="1296">
        <v>0</v>
      </c>
      <c r="D46" s="1296">
        <v>0</v>
      </c>
      <c r="E46" s="1296">
        <v>0</v>
      </c>
      <c r="F46" s="1296">
        <v>0</v>
      </c>
    </row>
    <row r="47" spans="1:6">
      <c r="A47" s="1295" t="s">
        <v>31</v>
      </c>
      <c r="B47" s="1295" t="s">
        <v>38</v>
      </c>
      <c r="C47" s="1296">
        <v>22</v>
      </c>
      <c r="D47" s="1296">
        <v>30745753.789489798</v>
      </c>
      <c r="E47" s="1296">
        <v>25</v>
      </c>
      <c r="F47" s="1296">
        <v>30772425.735199898</v>
      </c>
    </row>
    <row r="48" spans="1:6">
      <c r="A48" s="1295" t="s">
        <v>31</v>
      </c>
      <c r="B48" s="1295" t="s">
        <v>28</v>
      </c>
      <c r="C48" s="1296">
        <v>45</v>
      </c>
      <c r="D48" s="1296">
        <v>96921013.671941593</v>
      </c>
      <c r="E48" s="1296">
        <v>51</v>
      </c>
      <c r="F48" s="1296">
        <v>125144708.55605701</v>
      </c>
    </row>
    <row r="49" spans="1:6">
      <c r="A49" s="1295" t="s">
        <v>31</v>
      </c>
      <c r="B49" s="1295" t="s">
        <v>39</v>
      </c>
      <c r="C49" s="1296">
        <v>4</v>
      </c>
      <c r="D49" s="1296">
        <v>101503.20249212399</v>
      </c>
      <c r="E49" s="1296">
        <v>4</v>
      </c>
      <c r="F49" s="1296">
        <v>18281.227182126499</v>
      </c>
    </row>
    <row r="50" spans="1:6">
      <c r="A50" s="1295" t="s">
        <v>31</v>
      </c>
      <c r="B50" s="1295" t="s">
        <v>40</v>
      </c>
      <c r="C50" s="1296">
        <v>32</v>
      </c>
      <c r="D50" s="1296">
        <v>36819932.536120303</v>
      </c>
      <c r="E50" s="1296">
        <v>43</v>
      </c>
      <c r="F50" s="1296">
        <v>20094542.022873901</v>
      </c>
    </row>
    <row r="51" spans="1:6">
      <c r="A51" s="1295" t="s">
        <v>41</v>
      </c>
      <c r="B51" s="1295" t="s">
        <v>42</v>
      </c>
      <c r="C51" s="1296">
        <v>0</v>
      </c>
      <c r="D51" s="1296">
        <v>0</v>
      </c>
      <c r="E51" s="1296">
        <v>72</v>
      </c>
      <c r="F51" s="1296">
        <v>1470781.8851900201</v>
      </c>
    </row>
    <row r="52" spans="1:6">
      <c r="A52" s="1295" t="s">
        <v>41</v>
      </c>
      <c r="B52" s="1295" t="s">
        <v>28</v>
      </c>
      <c r="C52" s="1296">
        <v>18</v>
      </c>
      <c r="D52" s="1296">
        <v>3614703.0252483501</v>
      </c>
      <c r="E52" s="1296">
        <v>9</v>
      </c>
      <c r="F52" s="1296">
        <v>150416.831219338</v>
      </c>
    </row>
    <row r="53" spans="1:6">
      <c r="A53" s="1295" t="s">
        <v>43</v>
      </c>
      <c r="B53" s="1295" t="s">
        <v>44</v>
      </c>
      <c r="C53" s="1296">
        <v>322</v>
      </c>
      <c r="D53" s="1296">
        <v>14993929.915626099</v>
      </c>
      <c r="E53" s="1296">
        <v>607</v>
      </c>
      <c r="F53" s="1296">
        <v>2669310.16809216</v>
      </c>
    </row>
    <row r="54" spans="1:6">
      <c r="A54" s="1295" t="s">
        <v>45</v>
      </c>
      <c r="B54" s="1295" t="s">
        <v>46</v>
      </c>
      <c r="C54" s="1296">
        <v>0</v>
      </c>
      <c r="D54" s="1296">
        <v>0</v>
      </c>
      <c r="E54" s="1296">
        <v>1</v>
      </c>
      <c r="F54" s="1296">
        <v>2504385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121</v>
      </c>
      <c r="D57" s="1296">
        <v>7578363.6810701899</v>
      </c>
      <c r="E57" s="1296">
        <v>182</v>
      </c>
      <c r="F57" s="1296">
        <v>5340347.8222404402</v>
      </c>
    </row>
    <row r="58" spans="1:6">
      <c r="A58" s="1295" t="s">
        <v>48</v>
      </c>
      <c r="B58" s="1295" t="s">
        <v>50</v>
      </c>
      <c r="C58" s="1296">
        <v>122</v>
      </c>
      <c r="D58" s="1296">
        <v>20392268.701407898</v>
      </c>
      <c r="E58" s="1296">
        <v>137</v>
      </c>
      <c r="F58" s="1296">
        <v>12948245.2648119</v>
      </c>
    </row>
    <row r="59" spans="1:6">
      <c r="A59" s="1295" t="s">
        <v>48</v>
      </c>
      <c r="B59" s="1295" t="s">
        <v>51</v>
      </c>
      <c r="C59" s="1296">
        <v>445</v>
      </c>
      <c r="D59" s="1296">
        <v>29382279.046597101</v>
      </c>
      <c r="E59" s="1296">
        <v>682</v>
      </c>
      <c r="F59" s="1296">
        <v>32419402.192079</v>
      </c>
    </row>
    <row r="60" spans="1:6">
      <c r="A60" s="1295" t="s">
        <v>48</v>
      </c>
      <c r="B60" s="1295" t="s">
        <v>52</v>
      </c>
      <c r="C60" s="1296">
        <v>185</v>
      </c>
      <c r="D60" s="1296">
        <v>11895872.6722239</v>
      </c>
      <c r="E60" s="1296">
        <v>223</v>
      </c>
      <c r="F60" s="1296">
        <v>7875386.5435391804</v>
      </c>
    </row>
    <row r="61" spans="1:6">
      <c r="A61" s="1295" t="s">
        <v>48</v>
      </c>
      <c r="B61" s="1295" t="s">
        <v>53</v>
      </c>
      <c r="C61" s="1296">
        <v>594</v>
      </c>
      <c r="D61" s="1296">
        <v>40159590.844090097</v>
      </c>
      <c r="E61" s="1296">
        <v>1203</v>
      </c>
      <c r="F61" s="1296">
        <v>20232749.023368701</v>
      </c>
    </row>
    <row r="62" spans="1:6">
      <c r="A62" s="1295" t="s">
        <v>48</v>
      </c>
      <c r="B62" s="1295" t="s">
        <v>54</v>
      </c>
      <c r="C62" s="1296">
        <v>45</v>
      </c>
      <c r="D62" s="1296">
        <v>12007082.419728501</v>
      </c>
      <c r="E62" s="1296">
        <v>41</v>
      </c>
      <c r="F62" s="1296">
        <v>3495731.5642443299</v>
      </c>
    </row>
    <row r="63" spans="1:6">
      <c r="A63" s="1295" t="s">
        <v>48</v>
      </c>
      <c r="B63" s="1295" t="s">
        <v>28</v>
      </c>
      <c r="C63" s="1296">
        <v>95</v>
      </c>
      <c r="D63" s="1296">
        <v>12774094.9909909</v>
      </c>
      <c r="E63" s="1296">
        <v>84</v>
      </c>
      <c r="F63" s="1296">
        <v>7978166.2908547698</v>
      </c>
    </row>
    <row r="64" spans="1:6">
      <c r="A64" s="1295" t="s">
        <v>55</v>
      </c>
      <c r="B64" s="1295" t="s">
        <v>56</v>
      </c>
      <c r="C64" s="1296">
        <v>0</v>
      </c>
      <c r="D64" s="1296">
        <v>0</v>
      </c>
      <c r="E64" s="1296">
        <v>0</v>
      </c>
      <c r="F64" s="1296">
        <v>0</v>
      </c>
    </row>
    <row r="65" spans="1:6">
      <c r="A65" s="1295" t="s">
        <v>55</v>
      </c>
      <c r="B65" s="1295" t="s">
        <v>28</v>
      </c>
      <c r="C65" s="1296">
        <v>2</v>
      </c>
      <c r="D65" s="1296">
        <v>106584.905505641</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12</v>
      </c>
      <c r="D68" s="1299">
        <v>1136633.1080986401</v>
      </c>
      <c r="E68" s="1299">
        <v>29</v>
      </c>
      <c r="F68" s="1299">
        <v>930410.49027284095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154628915</v>
      </c>
      <c r="E73" s="447"/>
      <c r="F73" s="327"/>
    </row>
    <row r="74" spans="1:6">
      <c r="A74" s="1295" t="s">
        <v>63</v>
      </c>
      <c r="B74" s="1295" t="s">
        <v>755</v>
      </c>
      <c r="C74" s="1309" t="s">
        <v>749</v>
      </c>
      <c r="D74" s="1310">
        <v>14295852.356317725</v>
      </c>
      <c r="E74" s="447"/>
      <c r="F74" s="327"/>
    </row>
    <row r="75" spans="1:6">
      <c r="A75" s="1295" t="s">
        <v>64</v>
      </c>
      <c r="B75" s="1295" t="s">
        <v>754</v>
      </c>
      <c r="C75" s="1309" t="s">
        <v>750</v>
      </c>
      <c r="D75" s="1310">
        <v>29991923</v>
      </c>
      <c r="E75" s="447"/>
      <c r="F75" s="327"/>
    </row>
    <row r="76" spans="1:6">
      <c r="A76" s="1295" t="s">
        <v>64</v>
      </c>
      <c r="B76" s="1295" t="s">
        <v>755</v>
      </c>
      <c r="C76" s="1309" t="s">
        <v>751</v>
      </c>
      <c r="D76" s="1310">
        <v>480487.3563177241</v>
      </c>
      <c r="E76" s="447"/>
      <c r="F76" s="327"/>
    </row>
    <row r="77" spans="1:6">
      <c r="A77" s="1295" t="s">
        <v>65</v>
      </c>
      <c r="B77" s="1295" t="s">
        <v>754</v>
      </c>
      <c r="C77" s="1309" t="s">
        <v>752</v>
      </c>
      <c r="D77" s="1310">
        <v>58836537</v>
      </c>
      <c r="E77" s="447"/>
      <c r="F77" s="327"/>
    </row>
    <row r="78" spans="1:6">
      <c r="A78" s="1290" t="s">
        <v>65</v>
      </c>
      <c r="B78" s="1290" t="s">
        <v>755</v>
      </c>
      <c r="C78" s="1290" t="s">
        <v>753</v>
      </c>
      <c r="D78" s="1311">
        <v>14414857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1512139.2873645518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3368.761140551238</v>
      </c>
      <c r="C91" s="327"/>
      <c r="D91" s="327"/>
      <c r="E91" s="327"/>
      <c r="F91" s="327"/>
    </row>
    <row r="92" spans="1:6">
      <c r="A92" s="1290" t="s">
        <v>68</v>
      </c>
      <c r="B92" s="1291">
        <v>8253.2701655233104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12843</v>
      </c>
      <c r="C97" s="327"/>
      <c r="D97" s="327"/>
      <c r="E97" s="327"/>
      <c r="F97" s="327"/>
    </row>
    <row r="98" spans="1:6">
      <c r="A98" s="1295" t="s">
        <v>71</v>
      </c>
      <c r="B98" s="1296">
        <v>18</v>
      </c>
      <c r="C98" s="327"/>
      <c r="D98" s="327"/>
      <c r="E98" s="327"/>
      <c r="F98" s="327"/>
    </row>
    <row r="99" spans="1:6">
      <c r="A99" s="1295" t="s">
        <v>72</v>
      </c>
      <c r="B99" s="1296">
        <v>63</v>
      </c>
      <c r="C99" s="327"/>
      <c r="D99" s="327"/>
      <c r="E99" s="327"/>
      <c r="F99" s="327"/>
    </row>
    <row r="100" spans="1:6">
      <c r="A100" s="1295" t="s">
        <v>73</v>
      </c>
      <c r="B100" s="1296">
        <v>462</v>
      </c>
      <c r="C100" s="327"/>
      <c r="D100" s="327"/>
      <c r="E100" s="327"/>
      <c r="F100" s="327"/>
    </row>
    <row r="101" spans="1:6">
      <c r="A101" s="1295" t="s">
        <v>74</v>
      </c>
      <c r="B101" s="1296">
        <v>128</v>
      </c>
      <c r="C101" s="327"/>
      <c r="D101" s="327"/>
      <c r="E101" s="327"/>
      <c r="F101" s="327"/>
    </row>
    <row r="102" spans="1:6">
      <c r="A102" s="1295" t="s">
        <v>75</v>
      </c>
      <c r="B102" s="1296">
        <v>292</v>
      </c>
      <c r="C102" s="327"/>
      <c r="D102" s="327"/>
      <c r="E102" s="327"/>
      <c r="F102" s="327"/>
    </row>
    <row r="103" spans="1:6">
      <c r="A103" s="1295" t="s">
        <v>76</v>
      </c>
      <c r="B103" s="1296">
        <v>271</v>
      </c>
      <c r="C103" s="327"/>
      <c r="D103" s="327"/>
      <c r="E103" s="327"/>
      <c r="F103" s="327"/>
    </row>
    <row r="104" spans="1:6">
      <c r="A104" s="1295" t="s">
        <v>77</v>
      </c>
      <c r="B104" s="1296">
        <v>2518</v>
      </c>
      <c r="C104" s="327"/>
      <c r="D104" s="327"/>
      <c r="E104" s="327"/>
      <c r="F104" s="327"/>
    </row>
    <row r="105" spans="1:6">
      <c r="A105" s="1290" t="s">
        <v>78</v>
      </c>
      <c r="B105" s="1299">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108</v>
      </c>
      <c r="C129" s="327"/>
      <c r="D129" s="327"/>
      <c r="E129" s="327"/>
      <c r="F129" s="327"/>
    </row>
    <row r="130" spans="1:6">
      <c r="A130" s="1295" t="s">
        <v>290</v>
      </c>
      <c r="B130" s="1296">
        <v>4</v>
      </c>
      <c r="C130" s="327"/>
      <c r="D130" s="327"/>
      <c r="E130" s="327"/>
      <c r="F130" s="327"/>
    </row>
    <row r="131" spans="1:6">
      <c r="A131" s="1295" t="s">
        <v>291</v>
      </c>
      <c r="B131" s="1296">
        <v>5</v>
      </c>
      <c r="C131" s="327"/>
      <c r="D131" s="327"/>
      <c r="E131" s="327"/>
      <c r="F131" s="327"/>
    </row>
    <row r="132" spans="1:6">
      <c r="A132" s="1290" t="s">
        <v>292</v>
      </c>
      <c r="B132" s="1291">
        <v>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357461.00392646174</v>
      </c>
      <c r="C3" s="44" t="s">
        <v>169</v>
      </c>
      <c r="D3" s="44"/>
      <c r="E3" s="157"/>
      <c r="F3" s="44"/>
      <c r="G3" s="44"/>
      <c r="H3" s="44"/>
      <c r="I3" s="44"/>
      <c r="J3" s="44"/>
      <c r="K3" s="97"/>
    </row>
    <row r="4" spans="1:11">
      <c r="A4" s="354" t="s">
        <v>170</v>
      </c>
      <c r="B4" s="50">
        <f>IF(ISERROR('SEAP template'!B78+'SEAP template'!C78),0,'SEAP template'!B78+'SEAP template'!C78)</f>
        <v>19185.531306074547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1477.6265515005198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0.21327223155309485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2140.5782104042423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9014.2857142857138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0.23746509465657206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2504.3850000000002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2504.3850000000002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0.21327223155309485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534.11577761809747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57761.516554056601</v>
      </c>
      <c r="C5" s="18">
        <f>IF(ISERROR('Eigen informatie GS &amp; warmtenet'!B57),0,'Eigen informatie GS &amp; warmtenet'!B57)</f>
        <v>0</v>
      </c>
      <c r="D5" s="31">
        <f>(SUM(HH_hh_gas_kWh,HH_rest_gas_kWh)/1000)*0.902</f>
        <v>251518.50774498828</v>
      </c>
      <c r="E5" s="18">
        <f>B32*B41</f>
        <v>1520.9387041436744</v>
      </c>
      <c r="F5" s="18">
        <f>B36*B45</f>
        <v>46369.005354295077</v>
      </c>
      <c r="G5" s="19"/>
      <c r="H5" s="18"/>
      <c r="I5" s="18"/>
      <c r="J5" s="18">
        <f>B35*B44+C35*C44</f>
        <v>841.34944506694364</v>
      </c>
      <c r="K5" s="18"/>
      <c r="L5" s="18"/>
      <c r="M5" s="18"/>
      <c r="N5" s="18">
        <f>B34*B43+C34*C43</f>
        <v>24688.61270969937</v>
      </c>
      <c r="O5" s="18">
        <f>B52*B53*B54</f>
        <v>181.34666666666669</v>
      </c>
      <c r="P5" s="18">
        <f>B60*B61*B62/1000-B60*B61*B62/1000/B63</f>
        <v>324.13333333333333</v>
      </c>
    </row>
    <row r="6" spans="1:16">
      <c r="A6" s="17" t="s">
        <v>628</v>
      </c>
      <c r="B6" s="768">
        <f>kWh_PV_kleiner_dan_10kW</f>
        <v>3368.761140551238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61130.277694607837</v>
      </c>
      <c r="C8" s="22">
        <f>C5</f>
        <v>0</v>
      </c>
      <c r="D8" s="22">
        <f>D5</f>
        <v>251518.50774498828</v>
      </c>
      <c r="E8" s="22">
        <f>E5</f>
        <v>1520.9387041436744</v>
      </c>
      <c r="F8" s="22">
        <f>F5</f>
        <v>46369.005354295077</v>
      </c>
      <c r="G8" s="22"/>
      <c r="H8" s="22"/>
      <c r="I8" s="22"/>
      <c r="J8" s="22">
        <f>J5</f>
        <v>841.34944506694364</v>
      </c>
      <c r="K8" s="22"/>
      <c r="L8" s="22">
        <f>L5</f>
        <v>0</v>
      </c>
      <c r="M8" s="22">
        <f>M5</f>
        <v>0</v>
      </c>
      <c r="N8" s="22">
        <f>N5</f>
        <v>24688.61270969937</v>
      </c>
      <c r="O8" s="22">
        <f>O5</f>
        <v>181.34666666666669</v>
      </c>
      <c r="P8" s="22">
        <f>P5</f>
        <v>324.13333333333333</v>
      </c>
    </row>
    <row r="9" spans="1:16">
      <c r="B9" s="20"/>
      <c r="C9" s="20"/>
      <c r="D9" s="258"/>
      <c r="E9" s="20"/>
      <c r="F9" s="20"/>
      <c r="G9" s="20"/>
      <c r="H9" s="20"/>
      <c r="I9" s="20"/>
      <c r="J9" s="20"/>
      <c r="K9" s="20"/>
      <c r="L9" s="20"/>
      <c r="M9" s="20"/>
      <c r="N9" s="20"/>
      <c r="O9" s="20"/>
      <c r="P9" s="20"/>
    </row>
    <row r="10" spans="1:16">
      <c r="A10" s="25" t="s">
        <v>213</v>
      </c>
      <c r="B10" s="26">
        <f ca="1">'EF ele_warmte'!B12</f>
        <v>0.21327223155309485</v>
      </c>
      <c r="C10" s="26">
        <f ca="1">'EF ele_warmte'!B22</f>
        <v>0.23746509465657206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13037.390739389391</v>
      </c>
      <c r="C12" s="24">
        <f ca="1">C10*C8</f>
        <v>0</v>
      </c>
      <c r="D12" s="24">
        <f>D8*D10</f>
        <v>50806.738564487634</v>
      </c>
      <c r="E12" s="24">
        <f>E10*E8</f>
        <v>345.25308584061412</v>
      </c>
      <c r="F12" s="24">
        <f>F10*F8</f>
        <v>12380.524429596786</v>
      </c>
      <c r="G12" s="24"/>
      <c r="H12" s="24"/>
      <c r="I12" s="24"/>
      <c r="J12" s="24">
        <f>J10*J8</f>
        <v>297.83770355369802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18601</v>
      </c>
      <c r="C26" s="37"/>
      <c r="D26" s="228"/>
    </row>
    <row r="27" spans="1:5" s="16" customFormat="1">
      <c r="A27" s="230" t="s">
        <v>654</v>
      </c>
      <c r="B27" s="38">
        <f>SUM(HH_hh_gas_aantal,HH_rest_gas_aantal)</f>
        <v>16484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15659.8</v>
      </c>
      <c r="C31" s="35" t="s">
        <v>110</v>
      </c>
      <c r="D31" s="174"/>
    </row>
    <row r="32" spans="1:5">
      <c r="A32" s="171" t="s">
        <v>72</v>
      </c>
      <c r="B32" s="34">
        <f>IF((B21*($B$26-($B$27-0.05*$B$27)-$B$60))&lt;0,0,B21*($B$26-($B$27-0.05*$B$27)-$B$60))</f>
        <v>71.863181648023925</v>
      </c>
      <c r="C32" s="35" t="s">
        <v>110</v>
      </c>
      <c r="D32" s="174"/>
    </row>
    <row r="33" spans="1:6">
      <c r="A33" s="171" t="s">
        <v>73</v>
      </c>
      <c r="B33" s="34">
        <f>IF((B22*($B$26-($B$27-0.05*$B$27)-$B$60))&lt;0,0,B22*($B$26-($B$27-0.05*$B$27)-$B$60))</f>
        <v>483.72349646967712</v>
      </c>
      <c r="C33" s="35" t="s">
        <v>110</v>
      </c>
      <c r="D33" s="174"/>
    </row>
    <row r="34" spans="1:6">
      <c r="A34" s="171" t="s">
        <v>74</v>
      </c>
      <c r="B34" s="34">
        <f>IF((B24*($B$26-($B$27-0.05*$B$27)-$B$60))&lt;0,0,B24*($B$26-($B$27-0.05*$B$27)-$B$60))</f>
        <v>122.68247467215512</v>
      </c>
      <c r="C34" s="34">
        <f>B26*C24</f>
        <v>3803.947796972413</v>
      </c>
      <c r="D34" s="233"/>
    </row>
    <row r="35" spans="1:6">
      <c r="A35" s="171" t="s">
        <v>76</v>
      </c>
      <c r="B35" s="34">
        <f>IF((B19*($B$26-($B$27-0.05*$B$27)-$B$60))&lt;0,0,B19*($B$26-($B$27-0.05*$B$27)-$B$60))</f>
        <v>45.609461685870329</v>
      </c>
      <c r="C35" s="34">
        <f>B35/2</f>
        <v>22.804730842935165</v>
      </c>
      <c r="D35" s="233"/>
    </row>
    <row r="36" spans="1:6">
      <c r="A36" s="171" t="s">
        <v>77</v>
      </c>
      <c r="B36" s="34">
        <f>IF((B18*($B$26-($B$27-0.05*$B$27)-$B$60))&lt;0,0,B18*($B$26-($B$27-0.05*$B$27)-$B$60))</f>
        <v>2200.3213855242734</v>
      </c>
      <c r="C36" s="35" t="s">
        <v>110</v>
      </c>
      <c r="D36" s="174"/>
    </row>
    <row r="37" spans="1:6">
      <c r="A37" s="171" t="s">
        <v>78</v>
      </c>
      <c r="B37" s="34">
        <f>B60</f>
        <v>17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90290.028701138319</v>
      </c>
      <c r="C5" s="18">
        <f>IF(ISERROR('Eigen informatie GS &amp; warmtenet'!B58),0,'Eigen informatie GS &amp; warmtenet'!B58)</f>
        <v>0</v>
      </c>
      <c r="D5" s="31">
        <f>SUM(D6:D12)</f>
        <v>121038.97622520995</v>
      </c>
      <c r="E5" s="18">
        <f>SUM(E6:E12)</f>
        <v>744.07401762172276</v>
      </c>
      <c r="F5" s="18">
        <f>SUM(F6:F12)</f>
        <v>19788.038044884575</v>
      </c>
      <c r="G5" s="19"/>
      <c r="H5" s="18"/>
      <c r="I5" s="18"/>
      <c r="J5" s="18">
        <f>SUM(J6:J12)</f>
        <v>0</v>
      </c>
      <c r="K5" s="18"/>
      <c r="L5" s="18"/>
      <c r="M5" s="18"/>
      <c r="N5" s="18">
        <f>SUM(N6:N12)</f>
        <v>3894.4959899255873</v>
      </c>
      <c r="O5" s="18">
        <f>B38*B39*B40</f>
        <v>6.2533333333333339</v>
      </c>
      <c r="P5" s="18">
        <f>B46*B47*B48/1000-B46*B47*B48/1000/B49</f>
        <v>95.333333333333343</v>
      </c>
      <c r="R5" s="33"/>
    </row>
    <row r="6" spans="1:18">
      <c r="A6" s="33" t="s">
        <v>53</v>
      </c>
      <c r="B6" s="38">
        <f>B26</f>
        <v>20232.749023368702</v>
      </c>
      <c r="C6" s="34"/>
      <c r="D6" s="38">
        <f>IF(ISERROR(TER_kantoor_gas_kWh/1000),0,TER_kantoor_gas_kWh/1000)*0.902</f>
        <v>36223.950941369265</v>
      </c>
      <c r="E6" s="34">
        <f>$C$26*'E Balans VL '!I12/100/3.6*1000000</f>
        <v>33.20604183693353</v>
      </c>
      <c r="F6" s="34">
        <f>$C$26*('E Balans VL '!L12+'E Balans VL '!N12)/100/3.6*1000000</f>
        <v>2384.9650591223672</v>
      </c>
      <c r="G6" s="35"/>
      <c r="H6" s="34"/>
      <c r="I6" s="34"/>
      <c r="J6" s="34">
        <f>$C$26*('E Balans VL '!D12+'E Balans VL '!E12)/100/3.6*1000000</f>
        <v>0</v>
      </c>
      <c r="K6" s="34"/>
      <c r="L6" s="34"/>
      <c r="M6" s="34"/>
      <c r="N6" s="34">
        <f>$C$26*'E Balans VL '!Y12/100/3.6*1000000</f>
        <v>4.0879311302613113</v>
      </c>
      <c r="O6" s="34"/>
      <c r="P6" s="34"/>
      <c r="R6" s="33"/>
    </row>
    <row r="7" spans="1:18">
      <c r="A7" s="33" t="s">
        <v>52</v>
      </c>
      <c r="B7" s="38">
        <f t="shared" ref="B7:B12" si="0">B27</f>
        <v>7875.3865435391808</v>
      </c>
      <c r="C7" s="34"/>
      <c r="D7" s="38">
        <f>IF(ISERROR(TER_horeca_gas_kWh/1000),0,TER_horeca_gas_kWh/1000)*0.902</f>
        <v>10730.077150345956</v>
      </c>
      <c r="E7" s="34">
        <f>$C$27*'E Balans VL '!I9/100/3.6*1000000</f>
        <v>408.67557409316709</v>
      </c>
      <c r="F7" s="34">
        <f>$C$27*('E Balans VL '!L9+'E Balans VL '!N9)/100/3.6*1000000</f>
        <v>1797.1689236444392</v>
      </c>
      <c r="G7" s="35"/>
      <c r="H7" s="34"/>
      <c r="I7" s="34"/>
      <c r="J7" s="34">
        <f>$C$27*('E Balans VL '!D9+'E Balans VL '!E9)/100/3.6*1000000</f>
        <v>0</v>
      </c>
      <c r="K7" s="34"/>
      <c r="L7" s="34"/>
      <c r="M7" s="34"/>
      <c r="N7" s="34">
        <f>$C$27*'E Balans VL '!Y9/100/3.6*1000000</f>
        <v>0.83163720994440038</v>
      </c>
      <c r="O7" s="34"/>
      <c r="P7" s="34"/>
      <c r="R7" s="33"/>
    </row>
    <row r="8" spans="1:18">
      <c r="A8" s="6" t="s">
        <v>51</v>
      </c>
      <c r="B8" s="38">
        <f t="shared" si="0"/>
        <v>32419.402192079</v>
      </c>
      <c r="C8" s="34"/>
      <c r="D8" s="38">
        <f>IF(ISERROR(TER_handel_gas_kWh/1000),0,TER_handel_gas_kWh/1000)*0.902</f>
        <v>26502.815700030587</v>
      </c>
      <c r="E8" s="34">
        <f>$C$28*'E Balans VL '!I13/100/3.6*1000000</f>
        <v>174.58246461938302</v>
      </c>
      <c r="F8" s="34">
        <f>$C$28*('E Balans VL '!L13+'E Balans VL '!N13)/100/3.6*1000000</f>
        <v>6611.27952482613</v>
      </c>
      <c r="G8" s="35"/>
      <c r="H8" s="34"/>
      <c r="I8" s="34"/>
      <c r="J8" s="34">
        <f>$C$28*('E Balans VL '!D13+'E Balans VL '!E13)/100/3.6*1000000</f>
        <v>0</v>
      </c>
      <c r="K8" s="34"/>
      <c r="L8" s="34"/>
      <c r="M8" s="34"/>
      <c r="N8" s="34">
        <f>$C$28*'E Balans VL '!Y13/100/3.6*1000000</f>
        <v>161.20456690541479</v>
      </c>
      <c r="O8" s="34"/>
      <c r="P8" s="34"/>
      <c r="R8" s="33"/>
    </row>
    <row r="9" spans="1:18">
      <c r="A9" s="33" t="s">
        <v>50</v>
      </c>
      <c r="B9" s="38">
        <f t="shared" si="0"/>
        <v>12948.2452648119</v>
      </c>
      <c r="C9" s="34"/>
      <c r="D9" s="38">
        <f>IF(ISERROR(TER_gezond_gas_kWh/1000),0,TER_gezond_gas_kWh/1000)*0.902</f>
        <v>18393.826368669925</v>
      </c>
      <c r="E9" s="34">
        <f>$C$29*'E Balans VL '!I10/100/3.6*1000000</f>
        <v>12.831858304264346</v>
      </c>
      <c r="F9" s="34">
        <f>$C$29*('E Balans VL '!L10+'E Balans VL '!N10)/100/3.6*1000000</f>
        <v>4492.6678880382715</v>
      </c>
      <c r="G9" s="35"/>
      <c r="H9" s="34"/>
      <c r="I9" s="34"/>
      <c r="J9" s="34">
        <f>$C$29*('E Balans VL '!D10+'E Balans VL '!E10)/100/3.6*1000000</f>
        <v>0</v>
      </c>
      <c r="K9" s="34"/>
      <c r="L9" s="34"/>
      <c r="M9" s="34"/>
      <c r="N9" s="34">
        <f>$C$29*'E Balans VL '!Y10/100/3.6*1000000</f>
        <v>111.57390774577463</v>
      </c>
      <c r="O9" s="34"/>
      <c r="P9" s="34"/>
      <c r="R9" s="33"/>
    </row>
    <row r="10" spans="1:18">
      <c r="A10" s="33" t="s">
        <v>49</v>
      </c>
      <c r="B10" s="38">
        <f t="shared" si="0"/>
        <v>5340.3478222404401</v>
      </c>
      <c r="C10" s="34"/>
      <c r="D10" s="38">
        <f>IF(ISERROR(TER_ander_gas_kWh/1000),0,TER_ander_gas_kWh/1000)*0.902</f>
        <v>6835.6840403253118</v>
      </c>
      <c r="E10" s="34">
        <f>$C$30*'E Balans VL '!I14/100/3.6*1000000</f>
        <v>43.689382483464335</v>
      </c>
      <c r="F10" s="34">
        <f>$C$30*('E Balans VL '!L14+'E Balans VL '!N14)/100/3.6*1000000</f>
        <v>1561.3002886587112</v>
      </c>
      <c r="G10" s="35"/>
      <c r="H10" s="34"/>
      <c r="I10" s="34"/>
      <c r="J10" s="34">
        <f>$C$30*('E Balans VL '!D14+'E Balans VL '!E14)/100/3.6*1000000</f>
        <v>0</v>
      </c>
      <c r="K10" s="34"/>
      <c r="L10" s="34"/>
      <c r="M10" s="34"/>
      <c r="N10" s="34">
        <f>$C$30*'E Balans VL '!Y14/100/3.6*1000000</f>
        <v>3080.6799805921241</v>
      </c>
      <c r="O10" s="34"/>
      <c r="P10" s="34"/>
      <c r="R10" s="33"/>
    </row>
    <row r="11" spans="1:18">
      <c r="A11" s="33" t="s">
        <v>54</v>
      </c>
      <c r="B11" s="38">
        <f t="shared" si="0"/>
        <v>3495.73156424433</v>
      </c>
      <c r="C11" s="34"/>
      <c r="D11" s="38">
        <f>IF(ISERROR(TER_onderwijs_gas_kWh/1000),0,TER_onderwijs_gas_kWh/1000)*0.902</f>
        <v>10830.388342595108</v>
      </c>
      <c r="E11" s="34">
        <f>$C$31*'E Balans VL '!I11/100/3.6*1000000</f>
        <v>2.1546214366414853</v>
      </c>
      <c r="F11" s="34">
        <f>$C$31*('E Balans VL '!L11+'E Balans VL '!N11)/100/3.6*1000000</f>
        <v>1351.5064349535542</v>
      </c>
      <c r="G11" s="35"/>
      <c r="H11" s="34"/>
      <c r="I11" s="34"/>
      <c r="J11" s="34">
        <f>$C$31*('E Balans VL '!D11+'E Balans VL '!E11)/100/3.6*1000000</f>
        <v>0</v>
      </c>
      <c r="K11" s="34"/>
      <c r="L11" s="34"/>
      <c r="M11" s="34"/>
      <c r="N11" s="34">
        <f>$C$31*'E Balans VL '!Y11/100/3.6*1000000</f>
        <v>11.370865659207366</v>
      </c>
      <c r="O11" s="34"/>
      <c r="P11" s="34"/>
      <c r="R11" s="33"/>
    </row>
    <row r="12" spans="1:18">
      <c r="A12" s="33" t="s">
        <v>255</v>
      </c>
      <c r="B12" s="38">
        <f t="shared" si="0"/>
        <v>7978.1662908547696</v>
      </c>
      <c r="C12" s="34"/>
      <c r="D12" s="38">
        <f>IF(ISERROR(TER_rest_gas_kWh/1000),0,TER_rest_gas_kWh/1000)*0.902</f>
        <v>11522.233681873791</v>
      </c>
      <c r="E12" s="34">
        <f>$C$32*'E Balans VL '!I8/100/3.6*1000000</f>
        <v>68.934074847868999</v>
      </c>
      <c r="F12" s="34">
        <f>$C$32*('E Balans VL '!L8+'E Balans VL '!N8)/100/3.6*1000000</f>
        <v>1589.1499256411</v>
      </c>
      <c r="G12" s="35"/>
      <c r="H12" s="34"/>
      <c r="I12" s="34"/>
      <c r="J12" s="34">
        <f>$C$32*('E Balans VL '!D8+'E Balans VL '!E8)/100/3.6*1000000</f>
        <v>0</v>
      </c>
      <c r="K12" s="34"/>
      <c r="L12" s="34"/>
      <c r="M12" s="34"/>
      <c r="N12" s="34">
        <f>$C$32*'E Balans VL '!Y8/100/3.6*1000000</f>
        <v>524.74710068286026</v>
      </c>
      <c r="O12" s="34"/>
      <c r="P12" s="34"/>
      <c r="R12" s="33"/>
    </row>
    <row r="13" spans="1:18">
      <c r="A13" s="17" t="s">
        <v>495</v>
      </c>
      <c r="B13" s="246">
        <f ca="1">'lokale energieproductie'!N39+'lokale energieproductie'!N32</f>
        <v>1376</v>
      </c>
      <c r="C13" s="246">
        <f ca="1">'lokale energieproductie'!O39+'lokale energieproductie'!O32</f>
        <v>175</v>
      </c>
      <c r="D13" s="305">
        <f ca="1">('lokale energieproductie'!P32+'lokale energieproductie'!P39)*(-1)</f>
        <v>-233.33333333333334</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-3831.4285714285716</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91666.028701138319</v>
      </c>
      <c r="C16" s="22">
        <f t="shared" ca="1" si="1"/>
        <v>175</v>
      </c>
      <c r="D16" s="22">
        <f t="shared" ca="1" si="1"/>
        <v>120805.64289187662</v>
      </c>
      <c r="E16" s="22">
        <f t="shared" si="1"/>
        <v>744.07401762172276</v>
      </c>
      <c r="F16" s="22">
        <f t="shared" ca="1" si="1"/>
        <v>19788.038044884575</v>
      </c>
      <c r="G16" s="22">
        <f t="shared" si="1"/>
        <v>0</v>
      </c>
      <c r="H16" s="22">
        <f t="shared" si="1"/>
        <v>0</v>
      </c>
      <c r="I16" s="22">
        <f t="shared" si="1"/>
        <v>0</v>
      </c>
      <c r="J16" s="22">
        <f t="shared" si="1"/>
        <v>0</v>
      </c>
      <c r="K16" s="22">
        <f t="shared" si="1"/>
        <v>0</v>
      </c>
      <c r="L16" s="22">
        <f t="shared" ca="1" si="1"/>
        <v>0</v>
      </c>
      <c r="M16" s="22">
        <f t="shared" si="1"/>
        <v>0</v>
      </c>
      <c r="N16" s="22">
        <f t="shared" ca="1" si="1"/>
        <v>63.067418497015751</v>
      </c>
      <c r="O16" s="22">
        <f>O5</f>
        <v>6.2533333333333339</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0.21327223155309485</v>
      </c>
      <c r="C18" s="26">
        <f ca="1">'EF ele_warmte'!B22</f>
        <v>0.23746509465657206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19549.81849870181</v>
      </c>
      <c r="C20" s="24">
        <f t="shared" ref="C20:P20" ca="1" si="2">C16*C18</f>
        <v>41.55639156490011</v>
      </c>
      <c r="D20" s="24">
        <f t="shared" ca="1" si="2"/>
        <v>24402.739864159077</v>
      </c>
      <c r="E20" s="24">
        <f t="shared" si="2"/>
        <v>168.90480200013107</v>
      </c>
      <c r="F20" s="24">
        <f t="shared" ca="1" si="2"/>
        <v>5283.4061579841818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20232.749023368702</v>
      </c>
      <c r="C26" s="40">
        <f>IF(ISERROR(B26*3.6/1000000/'E Balans VL '!Z12*100),0,B26*3.6/1000000/'E Balans VL '!Z12*100)</f>
        <v>0.42993140721416079</v>
      </c>
      <c r="D26" s="236" t="s">
        <v>691</v>
      </c>
      <c r="F26" s="6"/>
    </row>
    <row r="27" spans="1:18">
      <c r="A27" s="231" t="s">
        <v>52</v>
      </c>
      <c r="B27" s="34">
        <f>IF(ISERROR(TER_horeca_ele_kWh/1000),0,TER_horeca_ele_kWh/1000)</f>
        <v>7875.3865435391808</v>
      </c>
      <c r="C27" s="40">
        <f>IF(ISERROR(B27*3.6/1000000/'E Balans VL '!Z9*100),0,B27*3.6/1000000/'E Balans VL '!Z9*100)</f>
        <v>0.61985382107657183</v>
      </c>
      <c r="D27" s="236" t="s">
        <v>691</v>
      </c>
      <c r="F27" s="6"/>
    </row>
    <row r="28" spans="1:18">
      <c r="A28" s="171" t="s">
        <v>51</v>
      </c>
      <c r="B28" s="34">
        <f>IF(ISERROR(TER_handel_ele_kWh/1000),0,TER_handel_ele_kWh/1000)</f>
        <v>32419.402192079</v>
      </c>
      <c r="C28" s="40">
        <f>IF(ISERROR(B28*3.6/1000000/'E Balans VL '!Z13*100),0,B28*3.6/1000000/'E Balans VL '!Z13*100)</f>
        <v>0.90808480557920612</v>
      </c>
      <c r="D28" s="236" t="s">
        <v>691</v>
      </c>
      <c r="F28" s="6"/>
    </row>
    <row r="29" spans="1:18">
      <c r="A29" s="231" t="s">
        <v>50</v>
      </c>
      <c r="B29" s="34">
        <f>IF(ISERROR(TER_gezond_ele_kWh/1000),0,TER_gezond_ele_kWh/1000)</f>
        <v>12948.2452648119</v>
      </c>
      <c r="C29" s="40">
        <f>IF(ISERROR(B29*3.6/1000000/'E Balans VL '!Z10*100),0,B29*3.6/1000000/'E Balans VL '!Z10*100)</f>
        <v>1.656472108537248</v>
      </c>
      <c r="D29" s="236" t="s">
        <v>691</v>
      </c>
      <c r="F29" s="6"/>
    </row>
    <row r="30" spans="1:18">
      <c r="A30" s="231" t="s">
        <v>49</v>
      </c>
      <c r="B30" s="34">
        <f>IF(ISERROR(TER_ander_ele_kWh/1000),0,TER_ander_ele_kWh/1000)</f>
        <v>5340.3478222404401</v>
      </c>
      <c r="C30" s="40">
        <f>IF(ISERROR(B30*3.6/1000000/'E Balans VL '!Z14*100),0,B30*3.6/1000000/'E Balans VL '!Z14*100)</f>
        <v>0.39941301854675937</v>
      </c>
      <c r="D30" s="236" t="s">
        <v>691</v>
      </c>
      <c r="F30" s="6"/>
    </row>
    <row r="31" spans="1:18">
      <c r="A31" s="231" t="s">
        <v>54</v>
      </c>
      <c r="B31" s="34">
        <f>IF(ISERROR(TER_onderwijs_ele_kWh/1000),0,TER_onderwijs_ele_kWh/1000)</f>
        <v>3495.73156424433</v>
      </c>
      <c r="C31" s="40">
        <f>IF(ISERROR(B31*3.6/1000000/'E Balans VL '!Z11*100),0,B31*3.6/1000000/'E Balans VL '!Z11*100)</f>
        <v>0.73812824791998477</v>
      </c>
      <c r="D31" s="236" t="s">
        <v>691</v>
      </c>
    </row>
    <row r="32" spans="1:18">
      <c r="A32" s="231" t="s">
        <v>255</v>
      </c>
      <c r="B32" s="34">
        <f>IF(ISERROR(TER_rest_ele_kWh/1000),0,TER_rest_ele_kWh/1000)</f>
        <v>7978.1662908547696</v>
      </c>
      <c r="C32" s="40">
        <f>IF(ISERROR(B32*3.6/1000000/'E Balans VL '!Z8*100),0,B32*3.6/1000000/'E Balans VL '!Z8*100)</f>
        <v>6.5723591910842358E-2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5</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191644.76526424248</v>
      </c>
      <c r="C5" s="18">
        <f>IF(ISERROR('Eigen informatie GS &amp; warmtenet'!B59),0,'Eigen informatie GS &amp; warmtenet'!B59)</f>
        <v>0</v>
      </c>
      <c r="D5" s="31">
        <f>SUM(D6:D15)</f>
        <v>163713.74451480783</v>
      </c>
      <c r="E5" s="18">
        <f>SUM(E6:E15)</f>
        <v>2481.8355146552335</v>
      </c>
      <c r="F5" s="18">
        <f>SUM(F6:F15)</f>
        <v>39937.013293315373</v>
      </c>
      <c r="G5" s="19"/>
      <c r="H5" s="18"/>
      <c r="I5" s="18"/>
      <c r="J5" s="18">
        <f>SUM(J6:J15)</f>
        <v>643.85319099048695</v>
      </c>
      <c r="K5" s="18"/>
      <c r="L5" s="18"/>
      <c r="M5" s="18"/>
      <c r="N5" s="18">
        <f>SUM(N6:N15)</f>
        <v>16195.582979203358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606.13811461545197</v>
      </c>
      <c r="C8" s="34"/>
      <c r="D8" s="38">
        <f>IF( ISERROR(IND_metaal_Gas_kWH/1000),0,IND_metaal_Gas_kWH/1000)*0.902</f>
        <v>1308.6193199098057</v>
      </c>
      <c r="E8" s="34">
        <f>C30*'E Balans VL '!I18/100/3.6*1000000</f>
        <v>5.5199905762261725</v>
      </c>
      <c r="F8" s="34">
        <f>C30*'E Balans VL '!L18/100/3.6*1000000+C30*'E Balans VL '!N18/100/3.6*1000000</f>
        <v>79.945014225875127</v>
      </c>
      <c r="G8" s="35"/>
      <c r="H8" s="34"/>
      <c r="I8" s="34"/>
      <c r="J8" s="41">
        <f>C30*'E Balans VL '!D18/100/3.6*1000000+C30*'E Balans VL '!E18/100/3.6*1000000</f>
        <v>9.9397849988417537</v>
      </c>
      <c r="K8" s="34"/>
      <c r="L8" s="34"/>
      <c r="M8" s="34"/>
      <c r="N8" s="34">
        <f>C30*'E Balans VL '!Y18/100/3.6*1000000</f>
        <v>2.0830559121849443</v>
      </c>
      <c r="O8" s="34"/>
      <c r="P8" s="34"/>
      <c r="R8" s="33"/>
    </row>
    <row r="9" spans="1:18">
      <c r="A9" s="6" t="s">
        <v>32</v>
      </c>
      <c r="B9" s="38">
        <f t="shared" si="0"/>
        <v>9625.988894825221</v>
      </c>
      <c r="C9" s="34"/>
      <c r="D9" s="38">
        <f>IF( ISERROR(IND_andere_gas_kWh/1000),0,IND_andere_gas_kWh/1000)*0.902</f>
        <v>4962.1896361382851</v>
      </c>
      <c r="E9" s="34">
        <f>C31*'E Balans VL '!I19/100/3.6*1000000</f>
        <v>55.639654297148724</v>
      </c>
      <c r="F9" s="34">
        <f>C31*'E Balans VL '!L19/100/3.6*1000000+C31*'E Balans VL '!N19/100/3.6*1000000</f>
        <v>7657.9373500902066</v>
      </c>
      <c r="G9" s="35"/>
      <c r="H9" s="34"/>
      <c r="I9" s="34"/>
      <c r="J9" s="41">
        <f>C31*'E Balans VL '!D19/100/3.6*1000000+C31*'E Balans VL '!E19/100/3.6*1000000</f>
        <v>0.91051162699427213</v>
      </c>
      <c r="K9" s="34"/>
      <c r="L9" s="34"/>
      <c r="M9" s="34"/>
      <c r="N9" s="34">
        <f>C31*'E Balans VL '!Y19/100/3.6*1000000</f>
        <v>729.31433183054571</v>
      </c>
      <c r="O9" s="34"/>
      <c r="P9" s="34"/>
      <c r="R9" s="33"/>
    </row>
    <row r="10" spans="1:18">
      <c r="A10" s="6" t="s">
        <v>40</v>
      </c>
      <c r="B10" s="38">
        <f t="shared" si="0"/>
        <v>20094.542022873902</v>
      </c>
      <c r="C10" s="34"/>
      <c r="D10" s="38">
        <f>IF( ISERROR(IND_voed_gas_kWh/1000),0,IND_voed_gas_kWh/1000)*0.902</f>
        <v>33211.579147580509</v>
      </c>
      <c r="E10" s="34">
        <f>C32*'E Balans VL '!I20/100/3.6*1000000</f>
        <v>197.58191844738207</v>
      </c>
      <c r="F10" s="34">
        <f>C32*'E Balans VL '!L20/100/3.6*1000000+C32*'E Balans VL '!N20/100/3.6*1000000</f>
        <v>2231.7611785513832</v>
      </c>
      <c r="G10" s="35"/>
      <c r="H10" s="34"/>
      <c r="I10" s="34"/>
      <c r="J10" s="41">
        <f>C32*'E Balans VL '!D20/100/3.6*1000000+C32*'E Balans VL '!E20/100/3.6*1000000</f>
        <v>7.920171248531023E-2</v>
      </c>
      <c r="K10" s="34"/>
      <c r="L10" s="34"/>
      <c r="M10" s="34"/>
      <c r="N10" s="34">
        <f>C32*'E Balans VL '!Y20/100/3.6*1000000</f>
        <v>297.55290001358128</v>
      </c>
      <c r="O10" s="34"/>
      <c r="P10" s="34"/>
      <c r="R10" s="33"/>
    </row>
    <row r="11" spans="1:18">
      <c r="A11" s="6" t="s">
        <v>39</v>
      </c>
      <c r="B11" s="38">
        <f t="shared" si="0"/>
        <v>18.2812271821265</v>
      </c>
      <c r="C11" s="34"/>
      <c r="D11" s="38">
        <f>IF( ISERROR(IND_textiel_gas_kWh/1000),0,IND_textiel_gas_kWh/1000)*0.902</f>
        <v>91.555888647895841</v>
      </c>
      <c r="E11" s="34">
        <f>C33*'E Balans VL '!I21/100/3.6*1000000</f>
        <v>3.5597794349705912E-2</v>
      </c>
      <c r="F11" s="34">
        <f>C33*'E Balans VL '!L21/100/3.6*1000000+C33*'E Balans VL '!N21/100/3.6*1000000</f>
        <v>0.60297486237901921</v>
      </c>
      <c r="G11" s="35"/>
      <c r="H11" s="34"/>
      <c r="I11" s="34"/>
      <c r="J11" s="41">
        <f>C33*'E Balans VL '!D21/100/3.6*1000000+C33*'E Balans VL '!E21/100/3.6*1000000</f>
        <v>0</v>
      </c>
      <c r="K11" s="34"/>
      <c r="L11" s="34"/>
      <c r="M11" s="34"/>
      <c r="N11" s="34">
        <f>C33*'E Balans VL '!Y21/100/3.6*1000000</f>
        <v>0.18962440874728786</v>
      </c>
      <c r="O11" s="34"/>
      <c r="P11" s="34"/>
      <c r="R11" s="33"/>
    </row>
    <row r="12" spans="1:18">
      <c r="A12" s="6" t="s">
        <v>36</v>
      </c>
      <c r="B12" s="38">
        <f t="shared" si="0"/>
        <v>545.06005901575804</v>
      </c>
      <c r="C12" s="34"/>
      <c r="D12" s="38">
        <f>IF( ISERROR(IND_min_gas_kWh/1000),0,IND_min_gas_kWh/1000)*0.902</f>
        <v>0</v>
      </c>
      <c r="E12" s="34">
        <f>C34*'E Balans VL '!I22/100/3.6*1000000</f>
        <v>13.818242427741632</v>
      </c>
      <c r="F12" s="34">
        <f>C34*'E Balans VL '!L22/100/3.6*1000000+C34*'E Balans VL '!N22/100/3.6*1000000</f>
        <v>150.82001818570217</v>
      </c>
      <c r="G12" s="35"/>
      <c r="H12" s="34"/>
      <c r="I12" s="34"/>
      <c r="J12" s="41">
        <f>C34*'E Balans VL '!D22/100/3.6*1000000+C34*'E Balans VL '!E22/100/3.6*1000000</f>
        <v>3.599686160064651</v>
      </c>
      <c r="K12" s="34"/>
      <c r="L12" s="34"/>
      <c r="M12" s="34"/>
      <c r="N12" s="34">
        <f>C34*'E Balans VL '!Y22/100/3.6*1000000</f>
        <v>0</v>
      </c>
      <c r="O12" s="34"/>
      <c r="P12" s="34"/>
      <c r="R12" s="33"/>
    </row>
    <row r="13" spans="1:18">
      <c r="A13" s="6" t="s">
        <v>38</v>
      </c>
      <c r="B13" s="38">
        <f t="shared" si="0"/>
        <v>30772.425735199897</v>
      </c>
      <c r="C13" s="34"/>
      <c r="D13" s="38">
        <f>IF( ISERROR(IND_papier_gas_kWh/1000),0,IND_papier_gas_kWh/1000)*0.902</f>
        <v>27732.669918119798</v>
      </c>
      <c r="E13" s="34">
        <f>C35*'E Balans VL '!I23/100/3.6*1000000</f>
        <v>1048.1534376736151</v>
      </c>
      <c r="F13" s="34">
        <f>C35*'E Balans VL '!L23/100/3.6*1000000+C35*'E Balans VL '!N23/100/3.6*1000000</f>
        <v>5082.882518169069</v>
      </c>
      <c r="G13" s="35"/>
      <c r="H13" s="34"/>
      <c r="I13" s="34"/>
      <c r="J13" s="41">
        <f>C35*'E Balans VL '!D23/100/3.6*1000000+C35*'E Balans VL '!E23/100/3.6*1000000</f>
        <v>0</v>
      </c>
      <c r="K13" s="34"/>
      <c r="L13" s="34"/>
      <c r="M13" s="34"/>
      <c r="N13" s="34">
        <f>C35*'E Balans VL '!Y23/100/3.6*1000000</f>
        <v>11323.427418068959</v>
      </c>
      <c r="O13" s="34"/>
      <c r="P13" s="34"/>
      <c r="R13" s="33"/>
    </row>
    <row r="14" spans="1:18">
      <c r="A14" s="6" t="s">
        <v>33</v>
      </c>
      <c r="B14" s="38">
        <f t="shared" si="0"/>
        <v>4837.6206544730894</v>
      </c>
      <c r="C14" s="34"/>
      <c r="D14" s="38">
        <f>IF( ISERROR(IND_chemie_gas_kWh/1000),0,IND_chemie_gas_kWh/1000)*0.902</f>
        <v>8984.3762723202035</v>
      </c>
      <c r="E14" s="34">
        <f>C36*'E Balans VL '!I24/100/3.6*1000000</f>
        <v>36.574998856705108</v>
      </c>
      <c r="F14" s="34">
        <f>C36*'E Balans VL '!L24/100/3.6*1000000+C36*'E Balans VL '!N24/100/3.6*1000000</f>
        <v>89.50935722786285</v>
      </c>
      <c r="G14" s="35"/>
      <c r="H14" s="34"/>
      <c r="I14" s="34"/>
      <c r="J14" s="41">
        <f>C36*'E Balans VL '!D24/100/3.6*1000000+C36*'E Balans VL '!E24/100/3.6*1000000</f>
        <v>0</v>
      </c>
      <c r="K14" s="34"/>
      <c r="L14" s="34"/>
      <c r="M14" s="34"/>
      <c r="N14" s="34">
        <f>C36*'E Balans VL '!Y24/100/3.6*1000000</f>
        <v>1.4027852462411505</v>
      </c>
      <c r="O14" s="34"/>
      <c r="P14" s="34"/>
      <c r="R14" s="33"/>
    </row>
    <row r="15" spans="1:18">
      <c r="A15" s="6" t="s">
        <v>265</v>
      </c>
      <c r="B15" s="38">
        <f t="shared" si="0"/>
        <v>125144.70855605701</v>
      </c>
      <c r="C15" s="34"/>
      <c r="D15" s="38">
        <f>IF( ISERROR(IND_rest_gas_kWh/1000),0,IND_rest_gas_kWh/1000)*0.902</f>
        <v>87422.75433209131</v>
      </c>
      <c r="E15" s="34">
        <f>C37*'E Balans VL '!I15/100/3.6*1000000</f>
        <v>1124.5116745820649</v>
      </c>
      <c r="F15" s="34">
        <f>C37*'E Balans VL '!L15/100/3.6*1000000+C37*'E Balans VL '!N15/100/3.6*1000000</f>
        <v>24643.554882002893</v>
      </c>
      <c r="G15" s="35"/>
      <c r="H15" s="34"/>
      <c r="I15" s="34"/>
      <c r="J15" s="41">
        <f>C37*'E Balans VL '!D15/100/3.6*1000000+C37*'E Balans VL '!E15/100/3.6*1000000</f>
        <v>629.32400649210092</v>
      </c>
      <c r="K15" s="34"/>
      <c r="L15" s="34"/>
      <c r="M15" s="34"/>
      <c r="N15" s="34">
        <f>C37*'E Balans VL '!Y15/100/3.6*1000000</f>
        <v>3841.6128637231004</v>
      </c>
      <c r="O15" s="34"/>
      <c r="P15" s="34"/>
      <c r="R15" s="33"/>
    </row>
    <row r="16" spans="1:18">
      <c r="A16" s="17" t="s">
        <v>495</v>
      </c>
      <c r="B16" s="246">
        <f>'lokale energieproductie'!N38+'lokale energieproductie'!N31</f>
        <v>6187.5</v>
      </c>
      <c r="C16" s="246">
        <f>'lokale energieproductie'!O38+'lokale energieproductie'!O31</f>
        <v>8839.2857142857138</v>
      </c>
      <c r="D16" s="305">
        <f>('lokale energieproductie'!P31+'lokale energieproductie'!P38)*(-1)</f>
        <v>-17678.571428571431</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197832.26526424248</v>
      </c>
      <c r="C18" s="22">
        <f>C5+C16</f>
        <v>8839.2857142857138</v>
      </c>
      <c r="D18" s="22">
        <f>MAX((D5+D16),0)</f>
        <v>146035.17308623641</v>
      </c>
      <c r="E18" s="22">
        <f>MAX((E5+E16),0)</f>
        <v>2481.8355146552335</v>
      </c>
      <c r="F18" s="22">
        <f>MAX((F5+F16),0)</f>
        <v>39937.013293315373</v>
      </c>
      <c r="G18" s="22"/>
      <c r="H18" s="22"/>
      <c r="I18" s="22"/>
      <c r="J18" s="22">
        <f>MAX((J5+J16),0)</f>
        <v>643.85319099048695</v>
      </c>
      <c r="K18" s="22"/>
      <c r="L18" s="22">
        <f>MAX((L5+L16),0)</f>
        <v>0</v>
      </c>
      <c r="M18" s="22"/>
      <c r="N18" s="22">
        <f>MAX((N5+N16),0)</f>
        <v>16195.582979203358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0.21327223155309485</v>
      </c>
      <c r="C20" s="26">
        <f ca="1">'EF ele_warmte'!B22</f>
        <v>0.23746509465657206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42192.128686108808</v>
      </c>
      <c r="C22" s="24">
        <f ca="1">C18*C20</f>
        <v>2099.0218188393424</v>
      </c>
      <c r="D22" s="24">
        <f>D18*D20</f>
        <v>29499.104963419755</v>
      </c>
      <c r="E22" s="24">
        <f>E18*E20</f>
        <v>563.37666182673797</v>
      </c>
      <c r="F22" s="24">
        <f>F18*F20</f>
        <v>10663.182549315205</v>
      </c>
      <c r="G22" s="24"/>
      <c r="H22" s="24"/>
      <c r="I22" s="24"/>
      <c r="J22" s="24">
        <f>J18*J20</f>
        <v>227.92402961063237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606.13811461545197</v>
      </c>
      <c r="C30" s="40">
        <f>IF(ISERROR(B30*3.6/1000000/'E Balans VL '!Z18*100),0,B30*3.6/1000000/'E Balans VL '!Z18*100)</f>
        <v>3.3727532867552958E-2</v>
      </c>
      <c r="D30" s="236" t="s">
        <v>691</v>
      </c>
    </row>
    <row r="31" spans="1:18">
      <c r="A31" s="6" t="s">
        <v>32</v>
      </c>
      <c r="B31" s="38">
        <f>IF( ISERROR(IND_ander_ele_kWh/1000),0,IND_ander_ele_kWh/1000)</f>
        <v>9625.988894825221</v>
      </c>
      <c r="C31" s="40">
        <f>IF(ISERROR(B31*3.6/1000000/'E Balans VL '!Z19*100),0,B31*3.6/1000000/'E Balans VL '!Z19*100)</f>
        <v>0.44748694295964231</v>
      </c>
      <c r="D31" s="236" t="s">
        <v>691</v>
      </c>
    </row>
    <row r="32" spans="1:18">
      <c r="A32" s="171" t="s">
        <v>40</v>
      </c>
      <c r="B32" s="38">
        <f>IF( ISERROR(IND_voed_ele_kWh/1000),0,IND_voed_ele_kWh/1000)</f>
        <v>20094.542022873902</v>
      </c>
      <c r="C32" s="40">
        <f>IF(ISERROR(B32*3.6/1000000/'E Balans VL '!Z20*100),0,B32*3.6/1000000/'E Balans VL '!Z20*100)</f>
        <v>0.71030147786228437</v>
      </c>
      <c r="D32" s="236" t="s">
        <v>691</v>
      </c>
    </row>
    <row r="33" spans="1:5">
      <c r="A33" s="171" t="s">
        <v>39</v>
      </c>
      <c r="B33" s="38">
        <f>IF( ISERROR(IND_textiel_ele_kWh/1000),0,IND_textiel_ele_kWh/1000)</f>
        <v>18.2812271821265</v>
      </c>
      <c r="C33" s="40">
        <f>IF(ISERROR(B33*3.6/1000000/'E Balans VL '!Z21*100),0,B33*3.6/1000000/'E Balans VL '!Z21*100)</f>
        <v>2.4691571291287893E-3</v>
      </c>
      <c r="D33" s="236" t="s">
        <v>691</v>
      </c>
    </row>
    <row r="34" spans="1:5">
      <c r="A34" s="171" t="s">
        <v>36</v>
      </c>
      <c r="B34" s="38">
        <f>IF( ISERROR(IND_min_ele_kWh/1000),0,IND_min_ele_kWh/1000)</f>
        <v>545.06005901575804</v>
      </c>
      <c r="C34" s="40">
        <f>IF(ISERROR(B34*3.6/1000000/'E Balans VL '!Z22*100),0,B34*3.6/1000000/'E Balans VL '!Z22*100)</f>
        <v>0.10954170168777065</v>
      </c>
      <c r="D34" s="236" t="s">
        <v>691</v>
      </c>
    </row>
    <row r="35" spans="1:5">
      <c r="A35" s="171" t="s">
        <v>38</v>
      </c>
      <c r="B35" s="38">
        <f>IF( ISERROR(IND_papier_ele_kWh/1000),0,IND_papier_ele_kWh/1000)</f>
        <v>30772.425735199897</v>
      </c>
      <c r="C35" s="40">
        <f>IF(ISERROR(B35*3.6/1000000/'E Balans VL '!Z22*100),0,B35*3.6/1000000/'E Balans VL '!Z22*100)</f>
        <v>6.1843898196857037</v>
      </c>
      <c r="D35" s="236" t="s">
        <v>691</v>
      </c>
    </row>
    <row r="36" spans="1:5">
      <c r="A36" s="171" t="s">
        <v>33</v>
      </c>
      <c r="B36" s="38">
        <f>IF( ISERROR(IND_chemie_ele_kWh/1000),0,IND_chemie_ele_kWh/1000)</f>
        <v>4837.6206544730894</v>
      </c>
      <c r="C36" s="40">
        <f>IF(ISERROR(B36*3.6/1000000/'E Balans VL '!Z24*100),0,B36*3.6/1000000/'E Balans VL '!Z24*100)</f>
        <v>0.11912749146080147</v>
      </c>
      <c r="D36" s="236" t="s">
        <v>691</v>
      </c>
    </row>
    <row r="37" spans="1:5">
      <c r="A37" s="171" t="s">
        <v>265</v>
      </c>
      <c r="B37" s="38">
        <f>IF( ISERROR(IND_rest_ele_kWh/1000),0,IND_rest_ele_kWh/1000)</f>
        <v>125144.70855605701</v>
      </c>
      <c r="C37" s="40">
        <f>IF(ISERROR(B37*3.6/1000000/'E Balans VL '!Z15*100),0,B37*3.6/1000000/'E Balans VL '!Z15*100)</f>
        <v>0.94502741628737819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1621.1987164093582</v>
      </c>
      <c r="C5" s="18">
        <f>'Eigen informatie GS &amp; warmtenet'!B60</f>
        <v>0</v>
      </c>
      <c r="D5" s="31">
        <f>IF(ISERROR(SUM(LB_lb_gas_kWh,LB_rest_gas_kWh)/1000),0,SUM(LB_lb_gas_kWh,LB_rest_gas_kWh)/1000)*0.902</f>
        <v>3260.4621287740119</v>
      </c>
      <c r="E5" s="18">
        <f>B17*'E Balans VL '!I25/3.6*1000000/100</f>
        <v>15.272778147348145</v>
      </c>
      <c r="F5" s="18">
        <f>B17*('E Balans VL '!L25/3.6*1000000+'E Balans VL '!N25/3.6*1000000)/100</f>
        <v>5290.5094402462846</v>
      </c>
      <c r="G5" s="19"/>
      <c r="H5" s="18"/>
      <c r="I5" s="18"/>
      <c r="J5" s="18">
        <f>('E Balans VL '!D25+'E Balans VL '!E25)/3.6*1000000*landbouw!B17/100</f>
        <v>200.55016672887947</v>
      </c>
      <c r="K5" s="18"/>
      <c r="L5" s="18">
        <f>L6*(-1)</f>
        <v>0</v>
      </c>
      <c r="M5" s="18"/>
      <c r="N5" s="18">
        <f>N6*(-1)</f>
        <v>0</v>
      </c>
      <c r="O5" s="18"/>
      <c r="P5" s="18"/>
      <c r="R5" s="33"/>
    </row>
    <row r="6" spans="1:18">
      <c r="A6" s="17" t="s">
        <v>495</v>
      </c>
      <c r="B6" s="18" t="s">
        <v>210</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1621.1987164093582</v>
      </c>
      <c r="C8" s="22">
        <f>C5+C6</f>
        <v>0</v>
      </c>
      <c r="D8" s="22">
        <f>MAX((D5+D6),0)</f>
        <v>3260.4621287740119</v>
      </c>
      <c r="E8" s="22">
        <f>MAX((E5+E6),0)</f>
        <v>15.272778147348145</v>
      </c>
      <c r="F8" s="22">
        <f>MAX((F5+F6),0)</f>
        <v>5290.5094402462846</v>
      </c>
      <c r="G8" s="22"/>
      <c r="H8" s="22"/>
      <c r="I8" s="22"/>
      <c r="J8" s="22">
        <f>MAX((J5+J6),0)</f>
        <v>200.55016672887947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0.21327223155309485</v>
      </c>
      <c r="C10" s="32">
        <f ca="1">'EF ele_warmte'!B22</f>
        <v>0.23746509465657206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345.75666803963679</v>
      </c>
      <c r="C12" s="24">
        <f ca="1">C8*C10</f>
        <v>0</v>
      </c>
      <c r="D12" s="24">
        <f>D8*D10</f>
        <v>658.61335001235045</v>
      </c>
      <c r="E12" s="24">
        <f>E8*E10</f>
        <v>3.4669206394480292</v>
      </c>
      <c r="F12" s="24">
        <f>F8*F10</f>
        <v>1412.566020545758</v>
      </c>
      <c r="G12" s="24"/>
      <c r="H12" s="24"/>
      <c r="I12" s="24"/>
      <c r="J12" s="24">
        <f>J8*J10</f>
        <v>70.994759022023331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0.21948440027447286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213.23779339551862</v>
      </c>
      <c r="C26" s="246">
        <f>B26*'GWP N2O_CH4'!B5</f>
        <v>4477.9936613058908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81.931205247624888</v>
      </c>
      <c r="C27" s="246">
        <f>B27*'GWP N2O_CH4'!B5</f>
        <v>1720.5553102001227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5.9321759083256032</v>
      </c>
      <c r="C28" s="246">
        <f>B28*'GWP N2O_CH4'!B4</f>
        <v>1838.9745315809371</v>
      </c>
      <c r="D28" s="51"/>
    </row>
    <row r="29" spans="1:4">
      <c r="A29" s="42" t="s">
        <v>272</v>
      </c>
      <c r="B29" s="246">
        <f>B34*'ha_N2O bodem landbouw'!B4</f>
        <v>12.354417273274647</v>
      </c>
      <c r="C29" s="246">
        <f>B29*'GWP N2O_CH4'!B4</f>
        <v>3829.8693547151406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3.3353037434317597E-3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3.6328876307228755E-5</v>
      </c>
      <c r="C5" s="435" t="s">
        <v>210</v>
      </c>
      <c r="D5" s="420">
        <f>SUM(D6:D11)</f>
        <v>4.3144002471878482E-5</v>
      </c>
      <c r="E5" s="420">
        <f>SUM(E6:E11)</f>
        <v>2.911665124649476E-3</v>
      </c>
      <c r="F5" s="433" t="s">
        <v>210</v>
      </c>
      <c r="G5" s="420">
        <f>SUM(G6:G11)</f>
        <v>0.71695578432743934</v>
      </c>
      <c r="H5" s="420">
        <f>SUM(H6:H11)</f>
        <v>0.1055270874200778</v>
      </c>
      <c r="I5" s="435" t="s">
        <v>210</v>
      </c>
      <c r="J5" s="435" t="s">
        <v>210</v>
      </c>
      <c r="K5" s="435" t="s">
        <v>210</v>
      </c>
      <c r="L5" s="435" t="s">
        <v>210</v>
      </c>
      <c r="M5" s="420">
        <f>SUM(M6:M11)</f>
        <v>3.6735119500698445E-2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2.1710412307352028E-5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2.5285714973178314E-5</v>
      </c>
      <c r="E6" s="423">
        <f>vkm_GW_PW*SUMIFS(TableVerdeelsleutelVkm[LPG],TableVerdeelsleutelVkm[Voertuigtype],"Lichte voertuigen")*SUMIFS(TableECFTransport[EnergieConsumptieFactor (PJ per km)],TableECFTransport[Index],CONCATENATE($A6,"_LPG_LPG"))</f>
        <v>1.6404722105978864E-3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0.25594450731914092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6.1682585769259217E-2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1.421383310106235E-2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8.368037594195448E-7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0.13842580910393495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3.7144577298319952E-6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6.1594969346677958E-3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4.3966492364464413E-6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8.3631833584019661E-6</v>
      </c>
      <c r="E8" s="423">
        <f>vkm_NGW_PW*SUMIFS(TableVerdeelsleutelVkm[LPG],TableVerdeelsleutelVkm[Voertuigtype],"Lichte voertuigen")*SUMIFS(TableECFTransport[EnergieConsumptieFactor (PJ per km)],TableECFTransport[Index],CONCATENATE($A8,"_LPG_LPG"))</f>
        <v>5.1407619003295544E-4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7.5506360033857883E-2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1.9447397014490213E-2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4.2505075235306916E-3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2.8125194363982271E-8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5.966147761903004E-3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1.5068977224476555E-7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2.6547368200558217E-4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8.5131161463594619E-6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9.4951041402982032E-6</v>
      </c>
      <c r="E10" s="423">
        <f>vkm_SW_PW*SUMIFS(TableVerdeelsleutelVkm[LPG],TableVerdeelsleutelVkm[Voertuigtype],"Lichte voertuigen")*SUMIFS(TableECFTransport[EnergieConsumptieFactor (PJ per km)],TableECFTransport[Index],CONCATENATE($A10,"_LPG_LPG"))</f>
        <v>7.5711672401863406E-4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0.11036789660846581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2.4389384473189377E-2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6.028063568924818E-3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8.4376966328729858E-7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0.1307450635001367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3.8550156369201657E-6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5.8177446905072084E-3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10.091354529785765</v>
      </c>
      <c r="C14" s="22"/>
      <c r="D14" s="22">
        <f t="shared" ref="D14:M14" si="0">((D5)*10^9/3600)+D12</f>
        <v>11.984445131077356</v>
      </c>
      <c r="E14" s="22">
        <f t="shared" si="0"/>
        <v>808.79586795818773</v>
      </c>
      <c r="F14" s="22"/>
      <c r="G14" s="22">
        <f t="shared" si="0"/>
        <v>199154.38453539982</v>
      </c>
      <c r="H14" s="22">
        <f t="shared" si="0"/>
        <v>29313.0798389105</v>
      </c>
      <c r="I14" s="22"/>
      <c r="J14" s="22"/>
      <c r="K14" s="22"/>
      <c r="L14" s="22"/>
      <c r="M14" s="22">
        <f t="shared" si="0"/>
        <v>10204.199861305124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0.21327223155309485</v>
      </c>
      <c r="C16" s="57">
        <f ca="1">'EF ele_warmte'!B22</f>
        <v>0.23746509465657206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2.1522056999608421</v>
      </c>
      <c r="C18" s="24"/>
      <c r="D18" s="24">
        <f t="shared" ref="D18:M18" si="1">D14*D16</f>
        <v>2.420857916477626</v>
      </c>
      <c r="E18" s="24">
        <f t="shared" si="1"/>
        <v>183.59666202650862</v>
      </c>
      <c r="F18" s="24"/>
      <c r="G18" s="24">
        <f t="shared" si="1"/>
        <v>53174.220670951756</v>
      </c>
      <c r="H18" s="24">
        <f t="shared" si="1"/>
        <v>7298.9568798887149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9.8809298790555186E-5</v>
      </c>
      <c r="C50" s="316">
        <f t="shared" ref="C50:P50" si="2">SUM(C51:C52)</f>
        <v>0</v>
      </c>
      <c r="D50" s="316">
        <f t="shared" si="2"/>
        <v>0</v>
      </c>
      <c r="E50" s="316">
        <f t="shared" si="2"/>
        <v>0</v>
      </c>
      <c r="F50" s="316">
        <f t="shared" si="2"/>
        <v>0</v>
      </c>
      <c r="G50" s="316">
        <f t="shared" si="2"/>
        <v>1.970770945276578E-2</v>
      </c>
      <c r="H50" s="316">
        <f t="shared" si="2"/>
        <v>0</v>
      </c>
      <c r="I50" s="316">
        <f t="shared" si="2"/>
        <v>0</v>
      </c>
      <c r="J50" s="316">
        <f t="shared" si="2"/>
        <v>0</v>
      </c>
      <c r="K50" s="316">
        <f t="shared" si="2"/>
        <v>0</v>
      </c>
      <c r="L50" s="316">
        <f t="shared" si="2"/>
        <v>0</v>
      </c>
      <c r="M50" s="316">
        <f t="shared" si="2"/>
        <v>8.7105976792344237E-4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9.8809298790555186E-5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1.970770945276578E-2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8.7105976792344237E-4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27.447027441820886</v>
      </c>
      <c r="C54" s="22">
        <f t="shared" ref="C54:P54" si="3">(C50)*10^9/3600</f>
        <v>0</v>
      </c>
      <c r="D54" s="22">
        <f t="shared" si="3"/>
        <v>0</v>
      </c>
      <c r="E54" s="22">
        <f t="shared" si="3"/>
        <v>0</v>
      </c>
      <c r="F54" s="22">
        <f t="shared" si="3"/>
        <v>0</v>
      </c>
      <c r="G54" s="22">
        <f t="shared" si="3"/>
        <v>5474.3637368793834</v>
      </c>
      <c r="H54" s="22">
        <f t="shared" si="3"/>
        <v>0</v>
      </c>
      <c r="I54" s="22">
        <f t="shared" si="3"/>
        <v>0</v>
      </c>
      <c r="J54" s="22">
        <f t="shared" si="3"/>
        <v>0</v>
      </c>
      <c r="K54" s="22">
        <f t="shared" si="3"/>
        <v>0</v>
      </c>
      <c r="L54" s="22">
        <f t="shared" si="3"/>
        <v>0</v>
      </c>
      <c r="M54" s="22">
        <f t="shared" si="3"/>
        <v>241.96104664540067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0.21327223155309485</v>
      </c>
      <c r="C56" s="57">
        <f ca="1">'EF ele_warmte'!B22</f>
        <v>0.23746509465657206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5.8536887920161726</v>
      </c>
      <c r="C58" s="24">
        <f t="shared" ref="C58:P58" ca="1" si="4">C54*C56</f>
        <v>0</v>
      </c>
      <c r="D58" s="24">
        <f t="shared" si="4"/>
        <v>0</v>
      </c>
      <c r="E58" s="24">
        <f t="shared" si="4"/>
        <v>0</v>
      </c>
      <c r="F58" s="24">
        <f t="shared" si="4"/>
        <v>0</v>
      </c>
      <c r="G58" s="24">
        <f t="shared" si="4"/>
        <v>1461.6551177467954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11622.031306074548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6222.5</v>
      </c>
      <c r="C8" s="546">
        <f>B49</f>
        <v>7314.9829282203946</v>
      </c>
      <c r="D8" s="969"/>
      <c r="E8" s="969">
        <f>E49</f>
        <v>0</v>
      </c>
      <c r="F8" s="970"/>
      <c r="G8" s="547"/>
      <c r="H8" s="969">
        <f>I49</f>
        <v>0</v>
      </c>
      <c r="I8" s="969">
        <f>G49+F49</f>
        <v>0</v>
      </c>
      <c r="J8" s="969">
        <f>H49+D49+C49</f>
        <v>0</v>
      </c>
      <c r="K8" s="969"/>
      <c r="L8" s="969"/>
      <c r="M8" s="969"/>
      <c r="N8" s="548"/>
      <c r="O8" s="549">
        <f>C8*$C$12+D8*$D$12+E8*$E$12+F8*$F$12+G8*$G$12+H8*$H$12+I8*$I$12+J8*$J$12</f>
        <v>1477.6265515005198</v>
      </c>
      <c r="P8" s="1243"/>
      <c r="Q8" s="1244"/>
      <c r="S8" s="1006"/>
      <c r="T8" s="1264"/>
      <c r="U8" s="1264"/>
    </row>
    <row r="9" spans="1:21" s="534" customFormat="1" ht="17.45" customHeight="1" thickBot="1">
      <c r="A9" s="550" t="s">
        <v>243</v>
      </c>
      <c r="B9" s="971">
        <f>N37+'Eigen informatie GS &amp; warmtenet'!B12</f>
        <v>1341</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19185.531306074547</v>
      </c>
      <c r="C10" s="558">
        <f t="shared" ref="C10:L10" si="0">SUM(C8:C9)</f>
        <v>7314.9829282203946</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73"/>
      <c r="N10" s="973"/>
      <c r="O10" s="559">
        <f>SUM(O4:O9)</f>
        <v>1477.6265515005198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9014.2857142857138</v>
      </c>
      <c r="C17" s="570">
        <f>B50</f>
        <v>10596.921833684368</v>
      </c>
      <c r="D17" s="571"/>
      <c r="E17" s="571">
        <f>E50</f>
        <v>0</v>
      </c>
      <c r="F17" s="572"/>
      <c r="G17" s="573"/>
      <c r="H17" s="570">
        <f>I50</f>
        <v>0</v>
      </c>
      <c r="I17" s="571">
        <f>G50+F50</f>
        <v>0</v>
      </c>
      <c r="J17" s="571">
        <f>H50+D50+C50</f>
        <v>0</v>
      </c>
      <c r="K17" s="571"/>
      <c r="L17" s="571"/>
      <c r="M17" s="571"/>
      <c r="N17" s="976"/>
      <c r="O17" s="574">
        <f>C17*$C$22+E17*$E$22+H17*$H$22+I17*$I$22+J17*$J$22+D17*$D$22+F17*$F$22+G17*$G$22+K17*$K$22+L17*$L$22</f>
        <v>2140.5782104042423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9014.2857142857138</v>
      </c>
      <c r="C20" s="557">
        <f>SUM(C17:C19)</f>
        <v>10596.921833684368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2140.5782104042423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13040</v>
      </c>
      <c r="C28" s="777">
        <v>2300</v>
      </c>
      <c r="D28" s="630" t="s">
        <v>965</v>
      </c>
      <c r="E28" s="629" t="s">
        <v>966</v>
      </c>
      <c r="F28" s="629" t="s">
        <v>967</v>
      </c>
      <c r="G28" s="629" t="s">
        <v>968</v>
      </c>
      <c r="H28" s="629" t="s">
        <v>969</v>
      </c>
      <c r="I28" s="629" t="s">
        <v>966</v>
      </c>
      <c r="J28" s="776">
        <v>40329</v>
      </c>
      <c r="K28" s="776">
        <v>40381</v>
      </c>
      <c r="L28" s="629" t="s">
        <v>970</v>
      </c>
      <c r="M28" s="629">
        <v>1375</v>
      </c>
      <c r="N28" s="629">
        <v>6187.5</v>
      </c>
      <c r="O28" s="629">
        <v>8839.2857142857138</v>
      </c>
      <c r="P28" s="629">
        <v>17678.571428571431</v>
      </c>
      <c r="Q28" s="629">
        <v>0</v>
      </c>
      <c r="R28" s="629">
        <v>0</v>
      </c>
      <c r="S28" s="629">
        <v>0</v>
      </c>
      <c r="T28" s="629">
        <v>0</v>
      </c>
      <c r="U28" s="629">
        <v>0</v>
      </c>
      <c r="V28" s="629">
        <v>0</v>
      </c>
      <c r="W28" s="629"/>
      <c r="X28" s="629">
        <v>500</v>
      </c>
      <c r="Y28" s="629" t="s">
        <v>40</v>
      </c>
      <c r="Z28" s="631" t="s">
        <v>384</v>
      </c>
    </row>
    <row r="29" spans="1:26" s="583" customFormat="1" ht="25.5">
      <c r="A29" s="582"/>
      <c r="B29" s="777">
        <v>13040</v>
      </c>
      <c r="C29" s="777">
        <v>2300</v>
      </c>
      <c r="D29" s="630" t="s">
        <v>971</v>
      </c>
      <c r="E29" s="629" t="s">
        <v>972</v>
      </c>
      <c r="F29" s="629" t="s">
        <v>973</v>
      </c>
      <c r="G29" s="629" t="s">
        <v>974</v>
      </c>
      <c r="H29" s="629" t="s">
        <v>974</v>
      </c>
      <c r="I29" s="629" t="s">
        <v>972</v>
      </c>
      <c r="J29" s="776">
        <v>41001</v>
      </c>
      <c r="K29" s="776">
        <v>41153</v>
      </c>
      <c r="L29" s="629" t="s">
        <v>970</v>
      </c>
      <c r="M29" s="629">
        <v>70</v>
      </c>
      <c r="N29" s="629">
        <v>35</v>
      </c>
      <c r="O29" s="629">
        <v>175</v>
      </c>
      <c r="P29" s="629">
        <v>233.33333333333334</v>
      </c>
      <c r="Q29" s="629">
        <v>0</v>
      </c>
      <c r="R29" s="629">
        <v>0</v>
      </c>
      <c r="S29" s="629">
        <v>0</v>
      </c>
      <c r="T29" s="629">
        <v>0</v>
      </c>
      <c r="U29" s="629">
        <v>0</v>
      </c>
      <c r="V29" s="629">
        <v>0</v>
      </c>
      <c r="W29" s="629"/>
      <c r="X29" s="629">
        <v>1300</v>
      </c>
      <c r="Y29" s="629" t="s">
        <v>53</v>
      </c>
      <c r="Z29" s="631" t="s">
        <v>155</v>
      </c>
    </row>
    <row r="30" spans="1:26" s="565" customFormat="1">
      <c r="A30" s="585" t="s">
        <v>275</v>
      </c>
      <c r="B30" s="586"/>
      <c r="C30" s="586"/>
      <c r="D30" s="586"/>
      <c r="E30" s="586"/>
      <c r="F30" s="586"/>
      <c r="G30" s="586"/>
      <c r="H30" s="586"/>
      <c r="I30" s="586"/>
      <c r="J30" s="586"/>
      <c r="K30" s="586"/>
      <c r="L30" s="587"/>
      <c r="M30" s="587">
        <f>SUM(M28:M29)</f>
        <v>1445</v>
      </c>
      <c r="N30" s="587">
        <f>SUM(N28:N29)</f>
        <v>6222.5</v>
      </c>
      <c r="O30" s="587">
        <f>SUM(O28:O29)</f>
        <v>9014.2857142857138</v>
      </c>
      <c r="P30" s="587">
        <f>SUM(P28:P29)</f>
        <v>17911.904761904763</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1375</v>
      </c>
      <c r="N31" s="587">
        <f>SUMIF($Z$28:$Z$29,"industrie",N28:N29)</f>
        <v>6187.5</v>
      </c>
      <c r="O31" s="587">
        <f>SUMIF($Z$28:$Z$29,"industrie",O28:O29)</f>
        <v>8839.2857142857138</v>
      </c>
      <c r="P31" s="587">
        <f>SUMIF($Z$28:$Z$29,"industrie",P28:P29)</f>
        <v>17678.571428571431</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70</v>
      </c>
      <c r="N32" s="587">
        <f ca="1">SUMIF($Z$28:AD29,"tertiair",N28:N29)</f>
        <v>35</v>
      </c>
      <c r="O32" s="587">
        <f ca="1">SUMIF($Z$28:AE29,"tertiair",O28:O29)</f>
        <v>175</v>
      </c>
      <c r="P32" s="587">
        <f ca="1">SUMIF($Z$28:AF29,"tertiair",P28:P29)</f>
        <v>233.33333333333334</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63.75">
      <c r="A36" s="584"/>
      <c r="B36" s="777">
        <v>13040</v>
      </c>
      <c r="C36" s="777">
        <v>2300</v>
      </c>
      <c r="D36" s="632" t="s">
        <v>975</v>
      </c>
      <c r="E36" s="632" t="s">
        <v>976</v>
      </c>
      <c r="F36" s="632" t="s">
        <v>977</v>
      </c>
      <c r="G36" s="632" t="s">
        <v>978</v>
      </c>
      <c r="H36" s="632" t="s">
        <v>979</v>
      </c>
      <c r="I36" s="632" t="s">
        <v>980</v>
      </c>
      <c r="J36" s="776">
        <v>38768</v>
      </c>
      <c r="K36" s="776">
        <v>39052</v>
      </c>
      <c r="L36" s="632" t="s">
        <v>981</v>
      </c>
      <c r="M36" s="632">
        <v>298</v>
      </c>
      <c r="N36" s="632">
        <v>1341</v>
      </c>
      <c r="O36" s="632">
        <v>0</v>
      </c>
      <c r="P36" s="632">
        <v>0</v>
      </c>
      <c r="Q36" s="632">
        <v>3831.4285714285716</v>
      </c>
      <c r="R36" s="632">
        <v>0</v>
      </c>
      <c r="S36" s="632">
        <v>0</v>
      </c>
      <c r="T36" s="632">
        <v>0</v>
      </c>
      <c r="U36" s="632">
        <v>0</v>
      </c>
      <c r="V36" s="632">
        <v>0</v>
      </c>
      <c r="W36" s="632"/>
      <c r="X36" s="632">
        <v>1600</v>
      </c>
      <c r="Y36" s="632" t="s">
        <v>49</v>
      </c>
      <c r="Z36" s="633" t="s">
        <v>155</v>
      </c>
    </row>
    <row r="37" spans="1:27" s="565" customFormat="1">
      <c r="A37" s="585" t="s">
        <v>275</v>
      </c>
      <c r="B37" s="586"/>
      <c r="C37" s="586"/>
      <c r="D37" s="586"/>
      <c r="E37" s="586"/>
      <c r="F37" s="586"/>
      <c r="G37" s="586"/>
      <c r="H37" s="586"/>
      <c r="I37" s="586"/>
      <c r="J37" s="586"/>
      <c r="K37" s="586"/>
      <c r="L37" s="587"/>
      <c r="M37" s="587">
        <f>SUM(M36:M36)</f>
        <v>298</v>
      </c>
      <c r="N37" s="587">
        <f>SUM(N36:N36)</f>
        <v>1341</v>
      </c>
      <c r="O37" s="587">
        <f>SUM(O36:O36)</f>
        <v>0</v>
      </c>
      <c r="P37" s="587">
        <f>SUM(P36:P36)</f>
        <v>0</v>
      </c>
      <c r="Q37" s="587">
        <f>SUM(Q36:Q36)</f>
        <v>3831.4285714285716</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298</v>
      </c>
      <c r="N39" s="587">
        <f>SUMIF($Z$36:$Z$37,"tertiair",N36:N37)</f>
        <v>1341</v>
      </c>
      <c r="O39" s="587">
        <f>SUMIF($Z$36:$Z$37,"tertiair",O36:O37)</f>
        <v>0</v>
      </c>
      <c r="P39" s="587">
        <f>SUMIF($Z$36:$Z$37,"tertiair",P36:P37)</f>
        <v>0</v>
      </c>
      <c r="Q39" s="587">
        <f>SUMIF($Z$36:$Z$37,"tertiair",Q36:Q37)</f>
        <v>3831.4285714285716</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0.59161334177155844</v>
      </c>
      <c r="C46" s="612">
        <f>IF(ISERROR(N30/(O30+N30)),0,N30/(N30+O30))</f>
        <v>0.4083866582284415</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7314.9829282203946</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10596.921833684368</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2021-06-29T16:39:15Z</dcterms:modified>
</cp:coreProperties>
</file>