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<sst xmlns="http://schemas.openxmlformats.org/spreadsheetml/2006/main" count="2565" uniqueCount="965">
  <si>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</si>
  <si>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</si>
  <si>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</si>
  <si>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</si>
  <si>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</si>
  <si>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</si>
  <si>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</si>
  <si>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</si>
  <si>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</si>
  <si>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</si>
  <si>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</si>
  <si>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</si>
  <si>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</si>
  <si>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</si>
  <si>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</si>
  <si>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</si>
  <si>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</si>
  <si>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</si>
  <si>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</si>
  <si>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</si>
  <si>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</si>
  <si>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</si>
  <si>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</si>
  <si>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</si>
  <si>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</si>
  <si>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</si>
  <si>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</si>
  <si>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</si>
  <si>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</si>
  <si>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</si>
  <si>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</si>
  <si>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</si>
  <si>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</si>
  <si>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</si>
  <si>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</si>
  <si>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</si>
  <si>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</si>
  <si>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</si>
  <si>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</si>
  <si>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</si>
  <si>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</si>
  <si>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</si>
  <si>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</si>
  <si>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</si>
  <si>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</si>
  <si>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</si>
  <si>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</si>
  <si>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</si>
  <si>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</si>
  <si>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</si>
  <si>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</si>
  <si>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</si>
  <si>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</si>
  <si>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</si>
  <si>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</si>
  <si>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</si>
  <si>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</si>
  <si>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</si>
  <si>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</si>
  <si>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</si>
  <si>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</si>
  <si>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</si>
  <si>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</si>
  <si>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</si>
  <si>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</si>
  <si>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</si>
  <si>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</si>
  <si>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</si>
  <si>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</si>
  <si>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</si>
  <si>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</si>
  <si>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</si>
  <si>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</si>
  <si>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</si>
  <si>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</si>
  <si>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</si>
  <si>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</si>
  <si>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</si>
  <si>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</si>
  <si>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</si>
  <si>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</si>
  <si>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</si>
  <si>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</si>
  <si>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</si>
  <si>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</si>
  <si>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</si>
  <si>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</si>
  <si>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</si>
  <si>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</si>
  <si>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</si>
  <si>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</si>
  <si>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</si>
  <si>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</si>
  <si>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</si>
  <si>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</si>
  <si>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</si>
  <si>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</si>
  <si>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</si>
  <si>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</si>
  <si>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</si>
  <si>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</si>
  <si>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</si>
  <si>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</si>
  <si>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</si>
  <si>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</si>
  <si>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</si>
  <si>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</si>
  <si>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</si>
  <si>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</si>
  <si>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</si>
  <si>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</si>
  <si>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</si>
  <si>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</si>
  <si>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</si>
  <si>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</si>
  <si>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</si>
  <si>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</si>
  <si>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</si>
  <si>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</si>
  <si>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</si>
  <si>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</si>
  <si>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</si>
  <si>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</si>
  <si>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</si>
  <si>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</si>
  <si>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</si>
  <si>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</si>
  <si>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</si>
  <si>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</si>
  <si>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</si>
  <si>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</si>
  <si>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</si>
  <si>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</si>
  <si>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</si>
  <si>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</si>
  <si>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</si>
  <si>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</si>
  <si>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</si>
  <si>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</si>
  <si>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</si>
  <si>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</si>
  <si>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</si>
  <si>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</si>
  <si>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</si>
  <si>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</si>
  <si>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</si>
  <si>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</si>
  <si>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</si>
  <si>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</si>
  <si>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</si>
  <si>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</si>
  <si>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</si>
  <si>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</si>
  <si>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</si>
  <si>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</si>
  <si>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</si>
  <si>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</si>
  <si>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</si>
  <si>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</si>
  <si>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</si>
  <si>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</si>
  <si>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</si>
  <si>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</si>
  <si>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</si>
  <si>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</si>
  <si>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</si>
  <si>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</si>
  <si>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</si>
  <si>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</si>
  <si>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</si>
  <si>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</si>
  <si>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</si>
  <si>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</si>
  <si>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</si>
  <si>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</si>
  <si>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</si>
  <si>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</si>
  <si>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</si>
  <si>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</si>
  <si>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</si>
  <si>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</si>
  <si>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</si>
  <si>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</si>
  <si>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</si>
  <si>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</si>
  <si>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</si>
  <si>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</si>
  <si>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</si>
  <si>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</si>
  <si>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</si>
  <si>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</si>
  <si>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</si>
  <si>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</si>
  <si>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</si>
  <si>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</si>
  <si>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</si>
  <si>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</si>
  <si>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</si>
  <si>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</si>
  <si>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</si>
  <si>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</si>
  <si>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</si>
  <si>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</si>
  <si>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</si>
  <si>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</si>
  <si>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</si>
  <si>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</si>
  <si>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</si>
  <si>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</si>
  <si>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</si>
  <si>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</si>
  <si>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</si>
  <si>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</si>
  <si>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</si>
  <si>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</si>
  <si>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</si>
  <si>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</si>
  <si>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</si>
  <si>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</si>
  <si>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</si>
  <si>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</si>
  <si>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</si>
  <si>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</si>
  <si>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</si>
  <si>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</si>
  <si>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</si>
  <si>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</si>
  <si>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</si>
  <si>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</si>
  <si>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</si>
  <si>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</si>
  <si>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</si>
  <si>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</si>
  <si>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</si>
  <si>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</si>
  <si>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</si>
  <si>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</si>
  <si>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</si>
  <si>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</si>
  <si>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</si>
  <si>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</si>
  <si>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</si>
  <si>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</si>
  <si>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</si>
  <si>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</si>
  <si>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</si>
  <si>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</si>
  <si>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</si>
  <si>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</si>
  <si>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</si>
  <si>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</si>
  <si>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</si>
  <si>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</si>
  <si>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</si>
  <si>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</si>
  <si>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</si>
  <si>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</si>
  <si>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</si>
  <si>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</si>
  <si>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</si>
  <si>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</si>
  <si>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</si>
  <si>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</si>
  <si>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</si>
  <si>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</si>
  <si>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</si>
  <si>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</si>
  <si>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</si>
  <si>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</si>
  <si>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</si>
  <si>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</si>
  <si>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</si>
  <si>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</si>
  <si>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</si>
  <si>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</si>
  <si>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</si>
  <si>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</si>
  <si>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</si>
  <si>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</si>
  <si>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</si>
  <si>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</si>
  <si>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</si>
  <si>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</si>
  <si>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</si>
  <si>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</si>
  <si>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</si>
  <si>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</si>
  <si>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</si>
  <si>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</si>
  <si>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</si>
  <si>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</si>
  <si>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</si>
  <si>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</si>
  <si>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</si>
  <si>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</si>
  <si>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</si>
  <si>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</si>
  <si>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</si>
  <si>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</si>
  <si>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</si>
  <si>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</si>
  <si>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</si>
  <si>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</si>
  <si>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</si>
  <si>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</si>
  <si>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</si>
  <si>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</si>
  <si>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</si>
  <si>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</si>
  <si>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</si>
  <si>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</si>
  <si>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</si>
  <si>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</si>
  <si>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</si>
  <si>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</si>
  <si>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</si>
  <si>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</si>
  <si>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</si>
  <si>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</si>
  <si>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</si>
  <si>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</si>
  <si>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</si>
  <si>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</si>
  <si>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</si>
  <si>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</si>
  <si>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</si>
  <si>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</si>
  <si>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</si>
  <si>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</si>
  <si>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</si>
  <si>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</si>
  <si>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</si>
  <si>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</si>
  <si>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</si>
  <si>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</si>
  <si>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</si>
  <si>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</si>
  <si>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</si>
  <si>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</si>
  <si>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</si>
  <si>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</si>
  <si>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</si>
  <si>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</si>
  <si>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</si>
  <si>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</si>
  <si>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</si>
  <si>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</si>
  <si>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</si>
  <si>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</si>
  <si>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</si>
  <si>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</si>
  <si>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</si>
  <si>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</si>
  <si>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</si>
  <si>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</si>
  <si>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</si>
  <si>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</si>
  <si>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</si>
  <si>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</si>
  <si>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</si>
  <si>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</si>
  <si>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</si>
  <si>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</si>
  <si>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</si>
  <si>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</si>
  <si>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</si>
  <si>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</si>
  <si>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</si>
  <si>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</si>
  <si>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</si>
  <si>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</si>
  <si>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</si>
  <si>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</si>
  <si>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</si>
  <si>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</si>
  <si>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</si>
  <si>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</si>
  <si>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</si>
  <si>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</si>
  <si>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</si>
  <si>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</si>
  <si>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</si>
  <si>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</si>
  <si>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</si>
  <si>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</si>
  <si>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</si>
  <si>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</si>
  <si>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</si>
  <si>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</si>
  <si>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</si>
  <si>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</si>
  <si>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</si>
  <si>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</si>
  <si>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</si>
  <si>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</si>
  <si>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</si>
  <si>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</si>
  <si>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</si>
  <si>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</si>
  <si>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</si>
  <si>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</si>
  <si>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</si>
  <si>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</si>
  <si>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</si>
  <si>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</si>
  <si>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</si>
  <si>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</si>
  <si>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</si>
  <si>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</si>
  <si>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</si>
  <si>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</si>
  <si>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</si>
  <si>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</si>
  <si>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</si>
  <si>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</si>
  <si>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</si>
  <si>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</si>
  <si>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</si>
  <si>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</si>
  <si>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</si>
  <si>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</si>
  <si>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</si>
  <si>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</si>
  <si>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</si>
  <si>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</si>
  <si>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</si>
  <si>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</si>
  <si>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</si>
  <si>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</si>
  <si>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</si>
  <si>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</si>
  <si>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</si>
  <si>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</si>
  <si>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</si>
  <si>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</si>
  <si>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</si>
  <si>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</si>
  <si>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</si>
  <si>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</si>
  <si>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</si>
  <si>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</si>
  <si>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</si>
  <si>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</si>
  <si>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</si>
  <si>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</si>
  <si>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</si>
  <si>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</si>
  <si>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</si>
  <si>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</si>
  <si>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</si>
  <si>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</si>
  <si>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</si>
  <si>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</si>
  <si>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</si>
  <si>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</si>
  <si>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</si>
  <si>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</si>
  <si>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</si>
  <si>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</si>
  <si>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</si>
  <si>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</si>
  <si>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</si>
  <si>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</si>
  <si>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</si>
  <si>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</si>
  <si>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</si>
  <si>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</si>
  <si>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</si>
  <si>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</si>
  <si>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</si>
  <si>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</si>
  <si>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</si>
  <si>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</si>
  <si>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</si>
  <si>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</si>
  <si>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</si>
  <si>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</si>
  <si>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</si>
  <si>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</si>
  <si>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</si>
  <si>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</si>
  <si>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</si>
  <si>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</si>
  <si>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</si>
  <si>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</si>
  <si>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</si>
  <si>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</si>
  <si>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</si>
  <si>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</si>
  <si>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</si>
  <si>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</si>
  <si>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</si>
  <si>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</si>
  <si>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</si>
  <si>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</si>
  <si>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</si>
  <si>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</si>
  <si>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</si>
  <si>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</si>
  <si>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</si>
  <si>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</si>
  <si>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</si>
  <si>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</si>
  <si>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</si>
  <si>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</si>
  <si>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</si>
  <si>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</si>
  <si>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</si>
  <si>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</si>
  <si>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</si>
  <si>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</si>
  <si>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</si>
  <si>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</si>
  <si>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</si>
  <si>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</si>
  <si>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</si>
  <si>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</si>
  <si>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</si>
  <si>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</si>
  <si>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</si>
  <si>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</si>
  <si>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</si>
  <si>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</si>
  <si>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</si>
  <si>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</si>
  <si>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</si>
  <si>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</si>
  <si>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</si>
  <si>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</si>
  <si>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</si>
  <si>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</si>
  <si>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</si>
  <si>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</si>
  <si>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</si>
  <si>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</si>
  <si>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</si>
  <si>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</si>
  <si>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</si>
  <si>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</si>
  <si>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</si>
  <si>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</si>
  <si>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</si>
  <si>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</si>
  <si>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</si>
  <si>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</si>
  <si>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</si>
  <si>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</si>
  <si>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</si>
  <si>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</si>
  <si>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</si>
  <si>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</si>
  <si>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</si>
  <si>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</si>
  <si>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</si>
  <si>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</si>
  <si>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</si>
  <si>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</si>
  <si>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</si>
  <si>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</si>
  <si>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</si>
  <si>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</si>
  <si>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</si>
  <si>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</si>
  <si>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</si>
  <si>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</si>
  <si>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</si>
  <si>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</si>
  <si>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</si>
  <si>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</si>
  <si>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</si>
  <si>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</si>
  <si>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</si>
  <si>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</si>
  <si>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</si>
  <si>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</si>
  <si>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</si>
  <si>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</si>
  <si>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</si>
  <si>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</si>
  <si>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</si>
  <si>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</si>
  <si>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</si>
  <si>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</si>
  <si>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</si>
  <si>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</si>
  <si>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</si>
  <si>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</si>
  <si>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</si>
  <si>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</si>
  <si>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</si>
  <si>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</si>
  <si>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</si>
  <si>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</si>
  <si>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</si>
  <si>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</si>
  <si>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</si>
  <si>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</si>
  <si>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</si>
  <si>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</si>
  <si>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</si>
  <si>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</si>
  <si>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</si>
  <si>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</si>
  <si>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</si>
  <si>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</si>
  <si>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</si>
  <si>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</si>
  <si>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</si>
  <si>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</si>
  <si>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</si>
  <si>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</si>
  <si>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</si>
  <si>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</si>
  <si>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</si>
  <si>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</si>
  <si>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</si>
  <si>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</si>
  <si>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</si>
  <si>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</si>
  <si>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</si>
  <si>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</si>
  <si>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</si>
  <si>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</si>
  <si>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</si>
  <si>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</si>
  <si>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</si>
  <si>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</si>
  <si>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</si>
  <si>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</si>
  <si>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</si>
  <si>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</si>
  <si>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</si>
  <si>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</si>
  <si>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</si>
  <si>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</si>
  <si>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</si>
  <si>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</si>
  <si>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</si>
  <si>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</si>
  <si>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</si>
  <si>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</si>
  <si>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</si>
  <si>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</si>
  <si>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</si>
  <si>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</si>
  <si>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</si>
  <si>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</si>
  <si>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</si>
  <si>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</si>
  <si>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</si>
  <si>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</si>
  <si>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</si>
  <si>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</si>
  <si>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</si>
  <si>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</si>
  <si>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</si>
  <si>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</si>
  <si>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</si>
  <si>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</si>
  <si>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</si>
  <si>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</si>
  <si>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</si>
  <si>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</si>
  <si>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</si>
  <si>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</si>
  <si>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</si>
  <si>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</si>
  <si>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</si>
  <si>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</si>
  <si>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</si>
  <si>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</si>
  <si>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</si>
  <si>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</si>
  <si>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</si>
  <si>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</si>
  <si>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</si>
  <si>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</si>
  <si>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</si>
  <si>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</si>
  <si>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</si>
  <si>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</si>
  <si>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</si>
  <si>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</si>
  <si>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</si>
  <si>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</si>
  <si>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</si>
  <si>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</si>
  <si>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</si>
  <si>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</si>
  <si>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</si>
  <si>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</si>
  <si>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</si>
  <si>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</si>
  <si>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</si>
  <si>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</si>
  <si>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</si>
  <si>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</si>
  <si>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</si>
  <si>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</si>
  <si>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</si>
  <si>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</si>
  <si>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</si>
  <si>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</si>
  <si>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</si>
  <si>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</si>
  <si>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</si>
  <si>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</si>
  <si>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</si>
  <si>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</si>
  <si>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</si>
  <si>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</si>
  <si>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</si>
  <si>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</si>
  <si>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</si>
  <si>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</si>
  <si>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</si>
  <si>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</si>
  <si>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</si>
  <si>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</si>
  <si>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</si>
  <si>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</si>
  <si>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</si>
  <si>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</si>
  <si>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</si>
  <si>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</si>
  <si>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</si>
  <si>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</si>
  <si>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</si>
  <si>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</si>
  <si>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</si>
  <si>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</si>
  <si>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</si>
  <si>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</si>
  <si>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</si>
  <si>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</si>
  <si>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</si>
  <si>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</si>
  <si>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</si>
  <si>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</si>
  <si>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</si>
  <si>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</si>
  <si>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</si>
  <si>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</si>
  <si>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</si>
  <si>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</si>
  <si>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</si>
  <si>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</si>
  <si>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</si>
  <si>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</si>
  <si>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</si>
  <si>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</si>
  <si>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</si>
  <si>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</si>
  <si>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</si>
  <si>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</si>
  <si>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</si>
  <si>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</si>
  <si>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</si>
  <si>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</si>
  <si>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</si>
  <si>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</si>
  <si>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</si>
  <si>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</si>
  <si>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</si>
  <si>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</si>
  <si>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</si>
  <si>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</si>
  <si>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</si>
  <si>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</si>
  <si>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</si>
  <si>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</si>
  <si>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</si>
  <si>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</si>
  <si>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</si>
  <si>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</si>
  <si>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</si>
  <si>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</si>
  <si>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</si>
  <si>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</si>
  <si>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</si>
  <si>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</si>
  <si>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</si>
  <si>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</si>
  <si>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</si>
  <si>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</si>
  <si>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</si>
  <si>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</si>
  <si>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</si>
  <si>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</si>
  <si>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</si>
  <si>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</si>
  <si>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</si>
  <si>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</si>
  <si>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</si>
  <si>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</si>
  <si>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</si>
  <si>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</si>
  <si>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</si>
  <si>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</si>
  <si>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</si>
  <si>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</si>
  <si>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</si>
  <si>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</si>
  <si>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</si>
  <si>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</si>
  <si>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</si>
  <si>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</si>
  <si>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</si>
  <si>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</si>
  <si>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</si>
  <si>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</si>
  <si>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</si>
  <si>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</si>
  <si>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</si>
  <si>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</si>
  <si>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</si>
  <si>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</si>
  <si>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</si>
  <si>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</si>
  <si>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</si>
  <si>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</si>
  <si>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</si>
  <si>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</si>
  <si>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</si>
  <si>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</si>
  <si>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</si>
  <si>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</si>
  <si>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</si>
  <si>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</si>
  <si>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</si>
  <si>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</si>
  <si>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</si>
  <si>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</si>
  <si>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</si>
  <si>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</si>
  <si>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</si>
  <si>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</si>
  <si>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</si>
  <si>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</si>
  <si>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</si>
  <si>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</si>
  <si>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</si>
  <si>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</si>
  <si>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</si>
  <si>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</si>
  <si>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</si>
  <si>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</si>
  <si>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</si>
  <si>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</si>
  <si>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</si>
  <si>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</si>
  <si>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</si>
  <si>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</si>
  <si>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</si>
  <si>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</si>
  <si>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</si>
  <si>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</si>
  <si>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</si>
  <si>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</si>
  <si>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</si>
  <si>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</si>
  <si>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</si>
  <si>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</si>
  <si>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</si>
  <si>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</si>
  <si>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</si>
  <si>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</si>
  <si>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</si>
  <si>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</si>
  <si>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</si>
  <si>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</si>
  <si>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</si>
  <si>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</si>
  <si>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</si>
  <si>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</si>
  <si>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</si>
  <si>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</si>
  <si>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</si>
  <si>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</si>
  <si>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</si>
  <si>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</si>
  <si>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</si>
  <si>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</si>
  <si>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</si>
  <si>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</si>
  <si>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</si>
  <si>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</si>
  <si>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</si>
  <si>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</si>
  <si>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</si>
  <si>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</si>
  <si>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</si>
  <si>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</si>
  <si>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</si>
  <si>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</si>
  <si>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</si>
  <si>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</si>
  <si>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</si>
  <si>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</si>
  <si>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</si>
  <si>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</si>
  <si>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</si>
  <si>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</si>
  <si>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</si>
  <si>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</si>
  <si>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</si>
  <si>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</si>
  <si>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</si>
  <si>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</si>
  <si>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</si>
  <si>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</si>
  <si>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</si>
  <si>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</si>
  <si>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</si>
  <si>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</si>
  <si>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</si>
  <si>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</si>
  <si>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</si>
  <si>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</si>
  <si>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</si>
  <si>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</si>
  <si>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</si>
  <si>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</si>
  <si>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</si>
  <si>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</si>
  <si>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</si>
  <si>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</si>
  <si>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</si>
  <si>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</si>
  <si>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</si>
  <si>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</si>
  <si>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</si>
  <si>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</si>
  <si>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</si>
  <si>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</si>
  <si>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</si>
  <si>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</si>
  <si>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</si>
  <si>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</si>
  <si>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</si>
  <si>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</si>
  <si>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</si>
  <si>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</si>
  <si>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</si>
  <si>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</si>
  <si>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</si>
  <si>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</si>
  <si>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</si>
  <si>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</si>
  <si>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</si>
  <si>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</si>
  <si>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</si>
  <si>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</si>
  <si>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</si>
  <si>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</si>
  <si>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</si>
  <si>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</si>
  <si>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</si>
  <si>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</si>
  <si>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13016</t>
  </si>
  <si>
    <t>HULSHOUT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</si>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</sst>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13016</v>
      </c>
      <c r="B6" s="386"/>
      <c r="C6" s="387"/>
    </row>
    <row r="7" spans="1:7" s="384" customFormat="1" ht="15.75" customHeight="1">
      <c r="A7" s="388" t="str">
        <f>txtMunicipality</f>
        <v>HULSHOUT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9448.6057252096161</v>
      </c>
      <c r="D10" s="676">
        <f ca="1">tertiair!C16</f>
        <v>0</v>
      </c>
      <c r="E10" s="676">
        <f ca="1">tertiair!D16</f>
        <v>7339.7090237245484</v>
      </c>
      <c r="F10" s="676">
        <f>tertiair!E16</f>
        <v>103.01702838796879</v>
      </c>
      <c r="G10" s="676">
        <f ca="1">tertiair!F16</f>
        <v>1749.4293224425337</v>
      </c>
      <c r="H10" s="676">
        <f>tertiair!G16</f>
        <v>0</v>
      </c>
      <c r="I10" s="676">
        <f>tertiair!H16</f>
        <v>0</v>
      </c>
      <c r="J10" s="676">
        <f>tertiair!I16</f>
        <v>0</v>
      </c>
      <c r="K10" s="676">
        <f>tertiair!J16</f>
        <v>0</v>
      </c>
      <c r="L10" s="676">
        <f>tertiair!K16</f>
        <v>0</v>
      </c>
      <c r="M10" s="676">
        <f ca="1">tertiair!L16</f>
        <v>0</v>
      </c>
      <c r="N10" s="676">
        <f>tertiair!M16</f>
        <v>0</v>
      </c>
      <c r="O10" s="676">
        <f ca="1">tertiair!N16</f>
        <v>769.52207661975206</v>
      </c>
      <c r="P10" s="676">
        <f>tertiair!O16</f>
        <v>0</v>
      </c>
      <c r="Q10" s="677">
        <f>tertiair!P16</f>
        <v>0</v>
      </c>
      <c r="R10" s="679">
        <f ca="1">SUM(C10:Q10)</f>
        <v>19410.283176384419</v>
      </c>
      <c r="S10" s="68"/>
    </row>
    <row r="11" spans="1:19" s="445" customFormat="1">
      <c r="A11" s="791" t="s">
        <v>220</v>
      </c>
      <c r="B11" s="796"/>
      <c r="C11" s="676">
        <f>huishoudens!B8</f>
        <v>19227.112795962188</v>
      </c>
      <c r="D11" s="676">
        <f>huishoudens!C8</f>
        <v>0</v>
      </c>
      <c r="E11" s="676">
        <f>huishoudens!D8</f>
        <v>31411.150579379144</v>
      </c>
      <c r="F11" s="676">
        <f>huishoudens!E8</f>
        <v>1218.9302715600531</v>
      </c>
      <c r="G11" s="676">
        <f>huishoudens!F8</f>
        <v>37161.645064652963</v>
      </c>
      <c r="H11" s="676">
        <f>huishoudens!G8</f>
        <v>0</v>
      </c>
      <c r="I11" s="676">
        <f>huishoudens!H8</f>
        <v>0</v>
      </c>
      <c r="J11" s="676">
        <f>huishoudens!I8</f>
        <v>0</v>
      </c>
      <c r="K11" s="676">
        <f>huishoudens!J8</f>
        <v>674.28510087772236</v>
      </c>
      <c r="L11" s="676">
        <f>huishoudens!K8</f>
        <v>0</v>
      </c>
      <c r="M11" s="676">
        <f>huishoudens!L8</f>
        <v>0</v>
      </c>
      <c r="N11" s="676">
        <f>huishoudens!M8</f>
        <v>0</v>
      </c>
      <c r="O11" s="676">
        <f>huishoudens!N8</f>
        <v>6369.7593886697796</v>
      </c>
      <c r="P11" s="676">
        <f>huishoudens!O8</f>
        <v>51.589999999999996</v>
      </c>
      <c r="Q11" s="677">
        <f>huishoudens!P8</f>
        <v>286</v>
      </c>
      <c r="R11" s="679">
        <f>SUM(C11:Q11)</f>
        <v>96400.47320110185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5563.8498865354122</v>
      </c>
      <c r="D13" s="676">
        <f>industrie!C18</f>
        <v>0</v>
      </c>
      <c r="E13" s="676">
        <f>industrie!D18</f>
        <v>24588.195742854994</v>
      </c>
      <c r="F13" s="676">
        <f>industrie!E18</f>
        <v>44.908580707052437</v>
      </c>
      <c r="G13" s="676">
        <f>industrie!F18</f>
        <v>2114.0607090867807</v>
      </c>
      <c r="H13" s="676">
        <f>industrie!G18</f>
        <v>0</v>
      </c>
      <c r="I13" s="676">
        <f>industrie!H18</f>
        <v>0</v>
      </c>
      <c r="J13" s="676">
        <f>industrie!I18</f>
        <v>0</v>
      </c>
      <c r="K13" s="676">
        <f>industrie!J18</f>
        <v>14.150817247792178</v>
      </c>
      <c r="L13" s="676">
        <f>industrie!K18</f>
        <v>0</v>
      </c>
      <c r="M13" s="676">
        <f>industrie!L18</f>
        <v>0</v>
      </c>
      <c r="N13" s="676">
        <f>industrie!M18</f>
        <v>0</v>
      </c>
      <c r="O13" s="676">
        <f>industrie!N18</f>
        <v>238.53244280677666</v>
      </c>
      <c r="P13" s="676">
        <f>industrie!O18</f>
        <v>0</v>
      </c>
      <c r="Q13" s="677">
        <f>industrie!P18</f>
        <v>0</v>
      </c>
      <c r="R13" s="679">
        <f>SUM(C13:Q13)</f>
        <v>32563.698179238807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34239.568407707215</v>
      </c>
      <c r="D16" s="709">
        <f t="shared" ref="D16:R16" ca="1" si="0">SUM(D9:D15)</f>
        <v>0</v>
      </c>
      <c r="E16" s="709">
        <f t="shared" ca="1" si="0"/>
        <v>63339.055345958688</v>
      </c>
      <c r="F16" s="709">
        <f t="shared" si="0"/>
        <v>1366.8558806550743</v>
      </c>
      <c r="G16" s="709">
        <f t="shared" ca="1" si="0"/>
        <v>41025.135096182275</v>
      </c>
      <c r="H16" s="709">
        <f t="shared" si="0"/>
        <v>0</v>
      </c>
      <c r="I16" s="709">
        <f t="shared" si="0"/>
        <v>0</v>
      </c>
      <c r="J16" s="709">
        <f t="shared" si="0"/>
        <v>0</v>
      </c>
      <c r="K16" s="709">
        <f t="shared" si="0"/>
        <v>688.43591812551449</v>
      </c>
      <c r="L16" s="709">
        <f t="shared" si="0"/>
        <v>0</v>
      </c>
      <c r="M16" s="709">
        <f t="shared" ca="1" si="0"/>
        <v>0</v>
      </c>
      <c r="N16" s="709">
        <f t="shared" si="0"/>
        <v>0</v>
      </c>
      <c r="O16" s="709">
        <f t="shared" ca="1" si="0"/>
        <v>7377.8139080963083</v>
      </c>
      <c r="P16" s="709">
        <f t="shared" si="0"/>
        <v>51.589999999999996</v>
      </c>
      <c r="Q16" s="709">
        <f t="shared" si="0"/>
        <v>286</v>
      </c>
      <c r="R16" s="709">
        <f t="shared" ca="1" si="0"/>
        <v>148374.45455672508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2.090112210531426</v>
      </c>
      <c r="D19" s="676">
        <f>transport!C54</f>
        <v>0</v>
      </c>
      <c r="E19" s="676">
        <f>transport!D54</f>
        <v>0</v>
      </c>
      <c r="F19" s="676">
        <f>transport!E54</f>
        <v>0</v>
      </c>
      <c r="G19" s="676">
        <f>transport!F54</f>
        <v>0</v>
      </c>
      <c r="H19" s="676">
        <f>transport!G54</f>
        <v>416.87700118330054</v>
      </c>
      <c r="I19" s="676">
        <f>transport!H54</f>
        <v>0</v>
      </c>
      <c r="J19" s="676">
        <f>transport!I54</f>
        <v>0</v>
      </c>
      <c r="K19" s="676">
        <f>transport!J54</f>
        <v>0</v>
      </c>
      <c r="L19" s="676">
        <f>transport!K54</f>
        <v>0</v>
      </c>
      <c r="M19" s="676">
        <f>transport!L54</f>
        <v>0</v>
      </c>
      <c r="N19" s="676">
        <f>transport!M54</f>
        <v>18.425519453372367</v>
      </c>
      <c r="O19" s="676">
        <f>transport!N54</f>
        <v>0</v>
      </c>
      <c r="P19" s="676">
        <f>transport!O54</f>
        <v>0</v>
      </c>
      <c r="Q19" s="677">
        <f>transport!P54</f>
        <v>0</v>
      </c>
      <c r="R19" s="679">
        <f>SUM(C19:Q19)</f>
        <v>437.39263284720431</v>
      </c>
      <c r="S19" s="68"/>
    </row>
    <row r="20" spans="1:19" s="445" customFormat="1">
      <c r="A20" s="791" t="s">
        <v>302</v>
      </c>
      <c r="B20" s="796"/>
      <c r="C20" s="676">
        <f>transport!B14</f>
        <v>1.2535408898550149</v>
      </c>
      <c r="D20" s="676">
        <f>transport!C14</f>
        <v>0</v>
      </c>
      <c r="E20" s="676">
        <f>transport!D14</f>
        <v>1.5939425041881845</v>
      </c>
      <c r="F20" s="676">
        <f>transport!E14</f>
        <v>102.0316578969979</v>
      </c>
      <c r="G20" s="676">
        <f>transport!F14</f>
        <v>0</v>
      </c>
      <c r="H20" s="676">
        <f>transport!G14</f>
        <v>19059.629378632661</v>
      </c>
      <c r="I20" s="676">
        <f>transport!H14</f>
        <v>3842.2347649117637</v>
      </c>
      <c r="J20" s="676">
        <f>transport!I14</f>
        <v>0</v>
      </c>
      <c r="K20" s="676">
        <f>transport!J14</f>
        <v>0</v>
      </c>
      <c r="L20" s="676">
        <f>transport!K14</f>
        <v>0</v>
      </c>
      <c r="M20" s="676">
        <f>transport!L14</f>
        <v>0</v>
      </c>
      <c r="N20" s="676">
        <f>transport!M14</f>
        <v>1024.0665266134547</v>
      </c>
      <c r="O20" s="676">
        <f>transport!N14</f>
        <v>0</v>
      </c>
      <c r="P20" s="676">
        <f>transport!O14</f>
        <v>0</v>
      </c>
      <c r="Q20" s="677">
        <f>transport!P14</f>
        <v>0</v>
      </c>
      <c r="R20" s="679">
        <f>SUM(C20:Q20)</f>
        <v>24030.809811448918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3.3436531003864411</v>
      </c>
      <c r="D22" s="794">
        <f t="shared" ref="D22:R22" si="1">SUM(D18:D21)</f>
        <v>0</v>
      </c>
      <c r="E22" s="794">
        <f t="shared" si="1"/>
        <v>1.5939425041881845</v>
      </c>
      <c r="F22" s="794">
        <f t="shared" si="1"/>
        <v>102.0316578969979</v>
      </c>
      <c r="G22" s="794">
        <f t="shared" si="1"/>
        <v>0</v>
      </c>
      <c r="H22" s="794">
        <f t="shared" si="1"/>
        <v>19476.506379815961</v>
      </c>
      <c r="I22" s="794">
        <f t="shared" si="1"/>
        <v>3842.2347649117637</v>
      </c>
      <c r="J22" s="794">
        <f t="shared" si="1"/>
        <v>0</v>
      </c>
      <c r="K22" s="794">
        <f t="shared" si="1"/>
        <v>0</v>
      </c>
      <c r="L22" s="794">
        <f t="shared" si="1"/>
        <v>0</v>
      </c>
      <c r="M22" s="794">
        <f t="shared" si="1"/>
        <v>0</v>
      </c>
      <c r="N22" s="794">
        <f t="shared" si="1"/>
        <v>1042.492046066827</v>
      </c>
      <c r="O22" s="794">
        <f t="shared" si="1"/>
        <v>0</v>
      </c>
      <c r="P22" s="794">
        <f t="shared" si="1"/>
        <v>0</v>
      </c>
      <c r="Q22" s="794">
        <f t="shared" si="1"/>
        <v>0</v>
      </c>
      <c r="R22" s="794">
        <f t="shared" si="1"/>
        <v>24468.202444296123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725.98670780465523</v>
      </c>
      <c r="D24" s="676">
        <f>+landbouw!C8</f>
        <v>0</v>
      </c>
      <c r="E24" s="676">
        <f>+landbouw!D8</f>
        <v>3.5584835205132976</v>
      </c>
      <c r="F24" s="676">
        <f>+landbouw!E8</f>
        <v>6.8392812145703941</v>
      </c>
      <c r="G24" s="676">
        <f>+landbouw!F8</f>
        <v>2369.1355613953151</v>
      </c>
      <c r="H24" s="676">
        <f>+landbouw!G8</f>
        <v>0</v>
      </c>
      <c r="I24" s="676">
        <f>+landbouw!H8</f>
        <v>0</v>
      </c>
      <c r="J24" s="676">
        <f>+landbouw!I8</f>
        <v>0</v>
      </c>
      <c r="K24" s="676">
        <f>+landbouw!J8</f>
        <v>89.808086954104297</v>
      </c>
      <c r="L24" s="676">
        <f>+landbouw!K8</f>
        <v>0</v>
      </c>
      <c r="M24" s="676">
        <f>+landbouw!L8</f>
        <v>0</v>
      </c>
      <c r="N24" s="676">
        <f>+landbouw!M8</f>
        <v>0</v>
      </c>
      <c r="O24" s="676">
        <f>+landbouw!N8</f>
        <v>0</v>
      </c>
      <c r="P24" s="676">
        <f>+landbouw!O8</f>
        <v>0</v>
      </c>
      <c r="Q24" s="677">
        <f>+landbouw!P8</f>
        <v>0</v>
      </c>
      <c r="R24" s="679">
        <f>SUM(C24:Q24)</f>
        <v>3195.3281208891585</v>
      </c>
      <c r="S24" s="68"/>
    </row>
    <row r="25" spans="1:19" s="445" customFormat="1" ht="15" thickBot="1">
      <c r="A25" s="813" t="s">
        <v>879</v>
      </c>
      <c r="B25" s="979"/>
      <c r="C25" s="980">
        <f>IF(Onbekend_ele_kWh="---",0,Onbekend_ele_kWh)/1000+IF(REST_rest_ele_kWh="---",0,REST_rest_ele_kWh)/1000</f>
        <v>1528.41389030093</v>
      </c>
      <c r="D25" s="980"/>
      <c r="E25" s="980">
        <f>IF(onbekend_gas_kWh="---",0,onbekend_gas_kWh)/1000+IF(REST_rest_gas_kWh="---",0,REST_rest_gas_kWh)/1000</f>
        <v>1059.19733041372</v>
      </c>
      <c r="F25" s="980"/>
      <c r="G25" s="980"/>
      <c r="H25" s="980"/>
      <c r="I25" s="980"/>
      <c r="J25" s="980"/>
      <c r="K25" s="980"/>
      <c r="L25" s="980"/>
      <c r="M25" s="980"/>
      <c r="N25" s="980"/>
      <c r="O25" s="980"/>
      <c r="P25" s="980"/>
      <c r="Q25" s="981"/>
      <c r="R25" s="679">
        <f>SUM(C25:Q25)</f>
        <v>2587.6112207146498</v>
      </c>
      <c r="S25" s="68"/>
    </row>
    <row r="26" spans="1:19" s="445" customFormat="1" ht="15.75" thickBot="1">
      <c r="A26" s="682" t="s">
        <v>880</v>
      </c>
      <c r="B26" s="799"/>
      <c r="C26" s="794">
        <f>SUM(C24:C25)</f>
        <v>2254.4005981055852</v>
      </c>
      <c r="D26" s="794">
        <f t="shared" ref="D26:R26" si="2">SUM(D24:D25)</f>
        <v>0</v>
      </c>
      <c r="E26" s="794">
        <f t="shared" si="2"/>
        <v>1062.7558139342334</v>
      </c>
      <c r="F26" s="794">
        <f t="shared" si="2"/>
        <v>6.8392812145703941</v>
      </c>
      <c r="G26" s="794">
        <f t="shared" si="2"/>
        <v>2369.1355613953151</v>
      </c>
      <c r="H26" s="794">
        <f t="shared" si="2"/>
        <v>0</v>
      </c>
      <c r="I26" s="794">
        <f t="shared" si="2"/>
        <v>0</v>
      </c>
      <c r="J26" s="794">
        <f t="shared" si="2"/>
        <v>0</v>
      </c>
      <c r="K26" s="794">
        <f t="shared" si="2"/>
        <v>89.808086954104297</v>
      </c>
      <c r="L26" s="794">
        <f t="shared" si="2"/>
        <v>0</v>
      </c>
      <c r="M26" s="794">
        <f t="shared" si="2"/>
        <v>0</v>
      </c>
      <c r="N26" s="794">
        <f t="shared" si="2"/>
        <v>0</v>
      </c>
      <c r="O26" s="794">
        <f t="shared" si="2"/>
        <v>0</v>
      </c>
      <c r="P26" s="794">
        <f t="shared" si="2"/>
        <v>0</v>
      </c>
      <c r="Q26" s="794">
        <f t="shared" si="2"/>
        <v>0</v>
      </c>
      <c r="R26" s="794">
        <f t="shared" si="2"/>
        <v>5782.9393416038083</v>
      </c>
      <c r="S26" s="68"/>
    </row>
    <row r="27" spans="1:19" s="445" customFormat="1" ht="17.25" thickTop="1" thickBot="1">
      <c r="A27" s="683" t="s">
        <v>115</v>
      </c>
      <c r="B27" s="786"/>
      <c r="C27" s="684">
        <f ca="1">C22+C16+C26</f>
        <v>36497.312658913186</v>
      </c>
      <c r="D27" s="684">
        <f t="shared" ref="D27:R27" ca="1" si="3">D22+D16+D26</f>
        <v>0</v>
      </c>
      <c r="E27" s="684">
        <f t="shared" ca="1" si="3"/>
        <v>64403.405102397111</v>
      </c>
      <c r="F27" s="684">
        <f t="shared" si="3"/>
        <v>1475.7268197666426</v>
      </c>
      <c r="G27" s="684">
        <f t="shared" ca="1" si="3"/>
        <v>43394.270657577588</v>
      </c>
      <c r="H27" s="684">
        <f t="shared" si="3"/>
        <v>19476.506379815961</v>
      </c>
      <c r="I27" s="684">
        <f t="shared" si="3"/>
        <v>3842.2347649117637</v>
      </c>
      <c r="J27" s="684">
        <f t="shared" si="3"/>
        <v>0</v>
      </c>
      <c r="K27" s="684">
        <f t="shared" si="3"/>
        <v>778.24400507961877</v>
      </c>
      <c r="L27" s="684">
        <f t="shared" si="3"/>
        <v>0</v>
      </c>
      <c r="M27" s="684">
        <f t="shared" ca="1" si="3"/>
        <v>0</v>
      </c>
      <c r="N27" s="684">
        <f t="shared" si="3"/>
        <v>1042.492046066827</v>
      </c>
      <c r="O27" s="684">
        <f t="shared" ca="1" si="3"/>
        <v>7377.8139080963083</v>
      </c>
      <c r="P27" s="684">
        <f t="shared" si="3"/>
        <v>51.589999999999996</v>
      </c>
      <c r="Q27" s="684">
        <f t="shared" si="3"/>
        <v>286</v>
      </c>
      <c r="R27" s="684">
        <f t="shared" ca="1" si="3"/>
        <v>178625.59634262501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1938.5404012224253</v>
      </c>
      <c r="D40" s="676">
        <f ca="1">tertiair!C20</f>
        <v>0</v>
      </c>
      <c r="E40" s="676">
        <f ca="1">tertiair!D20</f>
        <v>1482.6212227923588</v>
      </c>
      <c r="F40" s="676">
        <f>tertiair!E20</f>
        <v>23.384865444068918</v>
      </c>
      <c r="G40" s="676">
        <f ca="1">tertiair!F20</f>
        <v>467.09762909215652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3911.6441185510098</v>
      </c>
    </row>
    <row r="41" spans="1:18">
      <c r="A41" s="804" t="s">
        <v>220</v>
      </c>
      <c r="B41" s="811"/>
      <c r="C41" s="676">
        <f ca="1">huishoudens!B12</f>
        <v>3944.7656128128342</v>
      </c>
      <c r="D41" s="676">
        <f ca="1">huishoudens!C12</f>
        <v>0</v>
      </c>
      <c r="E41" s="676">
        <f>huishoudens!D12</f>
        <v>6345.0524170345871</v>
      </c>
      <c r="F41" s="676">
        <f>huishoudens!E12</f>
        <v>276.69717164413208</v>
      </c>
      <c r="G41" s="676">
        <f>huishoudens!F12</f>
        <v>9922.1592322623419</v>
      </c>
      <c r="H41" s="676">
        <f>huishoudens!G12</f>
        <v>0</v>
      </c>
      <c r="I41" s="676">
        <f>huishoudens!H12</f>
        <v>0</v>
      </c>
      <c r="J41" s="676">
        <f>huishoudens!I12</f>
        <v>0</v>
      </c>
      <c r="K41" s="676">
        <f>huishoudens!J12</f>
        <v>238.69692571071371</v>
      </c>
      <c r="L41" s="676">
        <f>huishoudens!K12</f>
        <v>0</v>
      </c>
      <c r="M41" s="676">
        <f>huishoudens!L12</f>
        <v>0</v>
      </c>
      <c r="N41" s="676">
        <f>huishoudens!M12</f>
        <v>0</v>
      </c>
      <c r="O41" s="676">
        <f>huishoudens!N12</f>
        <v>0</v>
      </c>
      <c r="P41" s="676">
        <f>huishoudens!O12</f>
        <v>0</v>
      </c>
      <c r="Q41" s="751">
        <f>huishoudens!P12</f>
        <v>0</v>
      </c>
      <c r="R41" s="832">
        <f t="shared" ca="1" si="4"/>
        <v>20727.371359464607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1141.517394742008</v>
      </c>
      <c r="D43" s="676">
        <f ca="1">industrie!C22</f>
        <v>0</v>
      </c>
      <c r="E43" s="676">
        <f>industrie!D22</f>
        <v>4966.8155400567093</v>
      </c>
      <c r="F43" s="676">
        <f>industrie!E22</f>
        <v>10.194247820500904</v>
      </c>
      <c r="G43" s="676">
        <f>industrie!F22</f>
        <v>564.45420932617048</v>
      </c>
      <c r="H43" s="676">
        <f>industrie!G22</f>
        <v>0</v>
      </c>
      <c r="I43" s="676">
        <f>industrie!H22</f>
        <v>0</v>
      </c>
      <c r="J43" s="676">
        <f>industrie!I22</f>
        <v>0</v>
      </c>
      <c r="K43" s="676">
        <f>industrie!J22</f>
        <v>5.0093893057184307</v>
      </c>
      <c r="L43" s="676">
        <f>industrie!K22</f>
        <v>0</v>
      </c>
      <c r="M43" s="676">
        <f>industrie!L22</f>
        <v>0</v>
      </c>
      <c r="N43" s="676">
        <f>industrie!M22</f>
        <v>0</v>
      </c>
      <c r="O43" s="676">
        <f>industrie!N22</f>
        <v>0</v>
      </c>
      <c r="P43" s="676">
        <f>industrie!O22</f>
        <v>0</v>
      </c>
      <c r="Q43" s="751">
        <f>industrie!P22</f>
        <v>0</v>
      </c>
      <c r="R43" s="831">
        <f t="shared" ca="1" si="4"/>
        <v>6687.9907812511074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7024.8234087772671</v>
      </c>
      <c r="D46" s="709">
        <f t="shared" ref="D46:Q46" ca="1" si="5">SUM(D39:D45)</f>
        <v>0</v>
      </c>
      <c r="E46" s="709">
        <f t="shared" ca="1" si="5"/>
        <v>12794.489179883654</v>
      </c>
      <c r="F46" s="709">
        <f t="shared" si="5"/>
        <v>310.27628490870188</v>
      </c>
      <c r="G46" s="709">
        <f t="shared" ca="1" si="5"/>
        <v>10953.711070680669</v>
      </c>
      <c r="H46" s="709">
        <f t="shared" si="5"/>
        <v>0</v>
      </c>
      <c r="I46" s="709">
        <f t="shared" si="5"/>
        <v>0</v>
      </c>
      <c r="J46" s="709">
        <f t="shared" si="5"/>
        <v>0</v>
      </c>
      <c r="K46" s="709">
        <f t="shared" si="5"/>
        <v>243.70631501643214</v>
      </c>
      <c r="L46" s="709">
        <f t="shared" si="5"/>
        <v>0</v>
      </c>
      <c r="M46" s="709">
        <f t="shared" ca="1" si="5"/>
        <v>0</v>
      </c>
      <c r="N46" s="709">
        <f t="shared" si="5"/>
        <v>0</v>
      </c>
      <c r="O46" s="709">
        <f t="shared" ca="1" si="5"/>
        <v>0</v>
      </c>
      <c r="P46" s="709">
        <f t="shared" si="5"/>
        <v>0</v>
      </c>
      <c r="Q46" s="709">
        <f t="shared" si="5"/>
        <v>0</v>
      </c>
      <c r="R46" s="709">
        <f ca="1">SUM(R39:R45)</f>
        <v>31327.006259266724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0.42882167814379751</v>
      </c>
      <c r="D49" s="676">
        <f ca="1">transport!C58</f>
        <v>0</v>
      </c>
      <c r="E49" s="676">
        <f>transport!D58</f>
        <v>0</v>
      </c>
      <c r="F49" s="676">
        <f>transport!E58</f>
        <v>0</v>
      </c>
      <c r="G49" s="676">
        <f>transport!F58</f>
        <v>0</v>
      </c>
      <c r="H49" s="676">
        <f>transport!G58</f>
        <v>111.30615931594124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111.73498099408503</v>
      </c>
    </row>
    <row r="50" spans="1:18">
      <c r="A50" s="807" t="s">
        <v>302</v>
      </c>
      <c r="B50" s="817"/>
      <c r="C50" s="986">
        <f ca="1">transport!B18</f>
        <v>0.25718499959043917</v>
      </c>
      <c r="D50" s="986">
        <f>transport!C18</f>
        <v>0</v>
      </c>
      <c r="E50" s="986">
        <f>transport!D18</f>
        <v>0.32197638584601329</v>
      </c>
      <c r="F50" s="986">
        <f>transport!E18</f>
        <v>23.161186342618524</v>
      </c>
      <c r="G50" s="986">
        <f>transport!F18</f>
        <v>0</v>
      </c>
      <c r="H50" s="986">
        <f>transport!G18</f>
        <v>5088.9210440949209</v>
      </c>
      <c r="I50" s="986">
        <f>transport!H18</f>
        <v>956.7164564630292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6069.3778482860052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0.68600667773423663</v>
      </c>
      <c r="D52" s="709">
        <f t="shared" ref="D52:Q52" ca="1" si="6">SUM(D48:D51)</f>
        <v>0</v>
      </c>
      <c r="E52" s="709">
        <f t="shared" si="6"/>
        <v>0.32197638584601329</v>
      </c>
      <c r="F52" s="709">
        <f t="shared" si="6"/>
        <v>23.161186342618524</v>
      </c>
      <c r="G52" s="709">
        <f t="shared" si="6"/>
        <v>0</v>
      </c>
      <c r="H52" s="709">
        <f t="shared" si="6"/>
        <v>5200.2272034108619</v>
      </c>
      <c r="I52" s="709">
        <f t="shared" si="6"/>
        <v>956.7164564630292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6181.1128292800904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148.94838505906245</v>
      </c>
      <c r="D54" s="986">
        <f ca="1">+landbouw!C12</f>
        <v>0</v>
      </c>
      <c r="E54" s="986">
        <f>+landbouw!D12</f>
        <v>0.71881367114368622</v>
      </c>
      <c r="F54" s="986">
        <f>+landbouw!E12</f>
        <v>1.5525168357074794</v>
      </c>
      <c r="G54" s="986">
        <f>+landbouw!F12</f>
        <v>632.55919489254916</v>
      </c>
      <c r="H54" s="986">
        <f>+landbouw!G12</f>
        <v>0</v>
      </c>
      <c r="I54" s="986">
        <f>+landbouw!H12</f>
        <v>0</v>
      </c>
      <c r="J54" s="986">
        <f>+landbouw!I12</f>
        <v>0</v>
      </c>
      <c r="K54" s="986">
        <f>+landbouw!J12</f>
        <v>31.792062781752918</v>
      </c>
      <c r="L54" s="986">
        <f>+landbouw!K12</f>
        <v>0</v>
      </c>
      <c r="M54" s="986">
        <f>+landbouw!L12</f>
        <v>0</v>
      </c>
      <c r="N54" s="986">
        <f>+landbouw!M12</f>
        <v>0</v>
      </c>
      <c r="O54" s="986">
        <f>+landbouw!N12</f>
        <v>0</v>
      </c>
      <c r="P54" s="986">
        <f>+landbouw!O12</f>
        <v>0</v>
      </c>
      <c r="Q54" s="987">
        <f>+landbouw!P12</f>
        <v>0</v>
      </c>
      <c r="R54" s="708">
        <f ca="1">SUM(C54:Q54)</f>
        <v>815.57097324021561</v>
      </c>
    </row>
    <row r="55" spans="1:18" ht="15" thickBot="1">
      <c r="A55" s="807" t="s">
        <v>879</v>
      </c>
      <c r="B55" s="817"/>
      <c r="C55" s="986">
        <f ca="1">C25*'EF ele_warmte'!B12</f>
        <v>313.57981932007868</v>
      </c>
      <c r="D55" s="986"/>
      <c r="E55" s="986">
        <f>E25*EF_CO2_aardgas</f>
        <v>213.95786074357144</v>
      </c>
      <c r="F55" s="986"/>
      <c r="G55" s="986"/>
      <c r="H55" s="986"/>
      <c r="I55" s="986"/>
      <c r="J55" s="986"/>
      <c r="K55" s="986"/>
      <c r="L55" s="986"/>
      <c r="M55" s="986"/>
      <c r="N55" s="986"/>
      <c r="O55" s="986"/>
      <c r="P55" s="986"/>
      <c r="Q55" s="987"/>
      <c r="R55" s="708">
        <f ca="1">SUM(C55:Q55)</f>
        <v>527.5376800636501</v>
      </c>
    </row>
    <row r="56" spans="1:18" ht="15.75" thickBot="1">
      <c r="A56" s="805" t="s">
        <v>880</v>
      </c>
      <c r="B56" s="818"/>
      <c r="C56" s="709">
        <f ca="1">SUM(C54:C55)</f>
        <v>462.52820437914113</v>
      </c>
      <c r="D56" s="709">
        <f t="shared" ref="D56:Q56" ca="1" si="7">SUM(D54:D55)</f>
        <v>0</v>
      </c>
      <c r="E56" s="709">
        <f t="shared" si="7"/>
        <v>214.67667441471514</v>
      </c>
      <c r="F56" s="709">
        <f t="shared" si="7"/>
        <v>1.5525168357074794</v>
      </c>
      <c r="G56" s="709">
        <f t="shared" si="7"/>
        <v>632.55919489254916</v>
      </c>
      <c r="H56" s="709">
        <f t="shared" si="7"/>
        <v>0</v>
      </c>
      <c r="I56" s="709">
        <f t="shared" si="7"/>
        <v>0</v>
      </c>
      <c r="J56" s="709">
        <f t="shared" si="7"/>
        <v>0</v>
      </c>
      <c r="K56" s="709">
        <f t="shared" si="7"/>
        <v>31.792062781752918</v>
      </c>
      <c r="L56" s="709">
        <f t="shared" si="7"/>
        <v>0</v>
      </c>
      <c r="M56" s="709">
        <f t="shared" si="7"/>
        <v>0</v>
      </c>
      <c r="N56" s="709">
        <f t="shared" si="7"/>
        <v>0</v>
      </c>
      <c r="O56" s="709">
        <f t="shared" si="7"/>
        <v>0</v>
      </c>
      <c r="P56" s="709">
        <f t="shared" si="7"/>
        <v>0</v>
      </c>
      <c r="Q56" s="710">
        <f t="shared" si="7"/>
        <v>0</v>
      </c>
      <c r="R56" s="711">
        <f ca="1">SUM(R54:R55)</f>
        <v>1343.1086533038656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7488.0376198341428</v>
      </c>
      <c r="D61" s="717">
        <f t="shared" ref="D61:Q61" ca="1" si="8">D46+D52+D56</f>
        <v>0</v>
      </c>
      <c r="E61" s="717">
        <f t="shared" ca="1" si="8"/>
        <v>13009.487830684215</v>
      </c>
      <c r="F61" s="717">
        <f t="shared" si="8"/>
        <v>334.98998808702788</v>
      </c>
      <c r="G61" s="717">
        <f t="shared" ca="1" si="8"/>
        <v>11586.270265573217</v>
      </c>
      <c r="H61" s="717">
        <f t="shared" si="8"/>
        <v>5200.2272034108619</v>
      </c>
      <c r="I61" s="717">
        <f t="shared" si="8"/>
        <v>956.7164564630292</v>
      </c>
      <c r="J61" s="717">
        <f t="shared" si="8"/>
        <v>0</v>
      </c>
      <c r="K61" s="717">
        <f t="shared" si="8"/>
        <v>275.49837779818506</v>
      </c>
      <c r="L61" s="717">
        <f t="shared" si="8"/>
        <v>0</v>
      </c>
      <c r="M61" s="717">
        <f t="shared" ca="1" si="8"/>
        <v>0</v>
      </c>
      <c r="N61" s="717">
        <f t="shared" si="8"/>
        <v>0</v>
      </c>
      <c r="O61" s="717">
        <f t="shared" ca="1" si="8"/>
        <v>0</v>
      </c>
      <c r="P61" s="717">
        <f t="shared" si="8"/>
        <v>0</v>
      </c>
      <c r="Q61" s="717">
        <f t="shared" si="8"/>
        <v>0</v>
      </c>
      <c r="R61" s="717">
        <f ca="1">R46+R52+R56</f>
        <v>38851.227741850686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0.2051668211797904</v>
      </c>
      <c r="D63" s="761">
        <f t="shared" ca="1" si="9"/>
        <v>0</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2614.7894922428591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2614.7894922428591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19227.112795962188</v>
      </c>
      <c r="C4" s="449">
        <f>huishoudens!C8</f>
        <v>0</v>
      </c>
      <c r="D4" s="449">
        <f>huishoudens!D8</f>
        <v>31411.150579379144</v>
      </c>
      <c r="E4" s="449">
        <f>huishoudens!E8</f>
        <v>1218.9302715600531</v>
      </c>
      <c r="F4" s="449">
        <f>huishoudens!F8</f>
        <v>37161.645064652963</v>
      </c>
      <c r="G4" s="449">
        <f>huishoudens!G8</f>
        <v>0</v>
      </c>
      <c r="H4" s="449">
        <f>huishoudens!H8</f>
        <v>0</v>
      </c>
      <c r="I4" s="449">
        <f>huishoudens!I8</f>
        <v>0</v>
      </c>
      <c r="J4" s="449">
        <f>huishoudens!J8</f>
        <v>674.28510087772236</v>
      </c>
      <c r="K4" s="449">
        <f>huishoudens!K8</f>
        <v>0</v>
      </c>
      <c r="L4" s="449">
        <f>huishoudens!L8</f>
        <v>0</v>
      </c>
      <c r="M4" s="449">
        <f>huishoudens!M8</f>
        <v>0</v>
      </c>
      <c r="N4" s="449">
        <f>huishoudens!N8</f>
        <v>6369.7593886697796</v>
      </c>
      <c r="O4" s="449">
        <f>huishoudens!O8</f>
        <v>51.589999999999996</v>
      </c>
      <c r="P4" s="450">
        <f>huishoudens!P8</f>
        <v>286</v>
      </c>
      <c r="Q4" s="451">
        <f>SUM(B4:P4)</f>
        <v>96400.47320110185</v>
      </c>
    </row>
    <row r="5" spans="1:17">
      <c r="A5" s="448" t="s">
        <v>155</v>
      </c>
      <c r="B5" s="449">
        <f ca="1">tertiair!B16</f>
        <v>8672.2777252096166</v>
      </c>
      <c r="C5" s="449">
        <f ca="1">tertiair!C16</f>
        <v>0</v>
      </c>
      <c r="D5" s="449">
        <f ca="1">tertiair!D16</f>
        <v>7339.7090237245484</v>
      </c>
      <c r="E5" s="449">
        <f>tertiair!E16</f>
        <v>103.01702838796879</v>
      </c>
      <c r="F5" s="449">
        <f ca="1">tertiair!F16</f>
        <v>1749.4293224425337</v>
      </c>
      <c r="G5" s="449">
        <f>tertiair!G16</f>
        <v>0</v>
      </c>
      <c r="H5" s="449">
        <f>tertiair!H16</f>
        <v>0</v>
      </c>
      <c r="I5" s="449">
        <f>tertiair!I16</f>
        <v>0</v>
      </c>
      <c r="J5" s="449">
        <f>tertiair!J16</f>
        <v>0</v>
      </c>
      <c r="K5" s="449">
        <f>tertiair!K16</f>
        <v>0</v>
      </c>
      <c r="L5" s="449">
        <f ca="1">tertiair!L16</f>
        <v>0</v>
      </c>
      <c r="M5" s="449">
        <f>tertiair!M16</f>
        <v>0</v>
      </c>
      <c r="N5" s="449">
        <f ca="1">tertiair!N16</f>
        <v>769.52207661975206</v>
      </c>
      <c r="O5" s="449">
        <f>tertiair!O16</f>
        <v>0</v>
      </c>
      <c r="P5" s="450">
        <f>tertiair!P16</f>
        <v>0</v>
      </c>
      <c r="Q5" s="448">
        <f t="shared" ref="Q5:Q14" ca="1" si="0">SUM(B5:P5)</f>
        <v>18633.955176384421</v>
      </c>
    </row>
    <row r="6" spans="1:17">
      <c r="A6" s="448" t="s">
        <v>193</v>
      </c>
      <c r="B6" s="449">
        <f>'openbare verlichting'!B8</f>
        <v>776.32799999999997</v>
      </c>
      <c r="C6" s="449"/>
      <c r="D6" s="449"/>
      <c r="E6" s="449"/>
      <c r="F6" s="449"/>
      <c r="G6" s="449"/>
      <c r="H6" s="449"/>
      <c r="I6" s="449"/>
      <c r="J6" s="449"/>
      <c r="K6" s="449"/>
      <c r="L6" s="449"/>
      <c r="M6" s="449"/>
      <c r="N6" s="449"/>
      <c r="O6" s="449"/>
      <c r="P6" s="450"/>
      <c r="Q6" s="448">
        <f t="shared" si="0"/>
        <v>776.32799999999997</v>
      </c>
    </row>
    <row r="7" spans="1:17">
      <c r="A7" s="448" t="s">
        <v>111</v>
      </c>
      <c r="B7" s="449">
        <f>landbouw!B8</f>
        <v>725.98670780465523</v>
      </c>
      <c r="C7" s="449">
        <f>landbouw!C8</f>
        <v>0</v>
      </c>
      <c r="D7" s="449">
        <f>landbouw!D8</f>
        <v>3.5584835205132976</v>
      </c>
      <c r="E7" s="449">
        <f>landbouw!E8</f>
        <v>6.8392812145703941</v>
      </c>
      <c r="F7" s="449">
        <f>landbouw!F8</f>
        <v>2369.1355613953151</v>
      </c>
      <c r="G7" s="449">
        <f>landbouw!G8</f>
        <v>0</v>
      </c>
      <c r="H7" s="449">
        <f>landbouw!H8</f>
        <v>0</v>
      </c>
      <c r="I7" s="449">
        <f>landbouw!I8</f>
        <v>0</v>
      </c>
      <c r="J7" s="449">
        <f>landbouw!J8</f>
        <v>89.808086954104297</v>
      </c>
      <c r="K7" s="449">
        <f>landbouw!K8</f>
        <v>0</v>
      </c>
      <c r="L7" s="449">
        <f>landbouw!L8</f>
        <v>0</v>
      </c>
      <c r="M7" s="449">
        <f>landbouw!M8</f>
        <v>0</v>
      </c>
      <c r="N7" s="449">
        <f>landbouw!N8</f>
        <v>0</v>
      </c>
      <c r="O7" s="449">
        <f>landbouw!O8</f>
        <v>0</v>
      </c>
      <c r="P7" s="450">
        <f>landbouw!P8</f>
        <v>0</v>
      </c>
      <c r="Q7" s="448">
        <f t="shared" si="0"/>
        <v>3195.3281208891585</v>
      </c>
    </row>
    <row r="8" spans="1:17">
      <c r="A8" s="448" t="s">
        <v>671</v>
      </c>
      <c r="B8" s="449">
        <f>industrie!B18</f>
        <v>5563.8498865354122</v>
      </c>
      <c r="C8" s="449">
        <f>industrie!C18</f>
        <v>0</v>
      </c>
      <c r="D8" s="449">
        <f>industrie!D18</f>
        <v>24588.195742854994</v>
      </c>
      <c r="E8" s="449">
        <f>industrie!E18</f>
        <v>44.908580707052437</v>
      </c>
      <c r="F8" s="449">
        <f>industrie!F18</f>
        <v>2114.0607090867807</v>
      </c>
      <c r="G8" s="449">
        <f>industrie!G18</f>
        <v>0</v>
      </c>
      <c r="H8" s="449">
        <f>industrie!H18</f>
        <v>0</v>
      </c>
      <c r="I8" s="449">
        <f>industrie!I18</f>
        <v>0</v>
      </c>
      <c r="J8" s="449">
        <f>industrie!J18</f>
        <v>14.150817247792178</v>
      </c>
      <c r="K8" s="449">
        <f>industrie!K18</f>
        <v>0</v>
      </c>
      <c r="L8" s="449">
        <f>industrie!L18</f>
        <v>0</v>
      </c>
      <c r="M8" s="449">
        <f>industrie!M18</f>
        <v>0</v>
      </c>
      <c r="N8" s="449">
        <f>industrie!N18</f>
        <v>238.53244280677666</v>
      </c>
      <c r="O8" s="449">
        <f>industrie!O18</f>
        <v>0</v>
      </c>
      <c r="P8" s="450">
        <f>industrie!P18</f>
        <v>0</v>
      </c>
      <c r="Q8" s="448">
        <f t="shared" si="0"/>
        <v>32563.698179238807</v>
      </c>
    </row>
    <row r="9" spans="1:17" s="454" customFormat="1">
      <c r="A9" s="452" t="s">
        <v>568</v>
      </c>
      <c r="B9" s="453">
        <f>transport!B14</f>
        <v>1.2535408898550149</v>
      </c>
      <c r="C9" s="453">
        <f>transport!C14</f>
        <v>0</v>
      </c>
      <c r="D9" s="453">
        <f>transport!D14</f>
        <v>1.5939425041881845</v>
      </c>
      <c r="E9" s="453">
        <f>transport!E14</f>
        <v>102.0316578969979</v>
      </c>
      <c r="F9" s="453">
        <f>transport!F14</f>
        <v>0</v>
      </c>
      <c r="G9" s="453">
        <f>transport!G14</f>
        <v>19059.629378632661</v>
      </c>
      <c r="H9" s="453">
        <f>transport!H14</f>
        <v>3842.2347649117637</v>
      </c>
      <c r="I9" s="453">
        <f>transport!I14</f>
        <v>0</v>
      </c>
      <c r="J9" s="453">
        <f>transport!J14</f>
        <v>0</v>
      </c>
      <c r="K9" s="453">
        <f>transport!K14</f>
        <v>0</v>
      </c>
      <c r="L9" s="453">
        <f>transport!L14</f>
        <v>0</v>
      </c>
      <c r="M9" s="453">
        <f>transport!M14</f>
        <v>1024.0665266134547</v>
      </c>
      <c r="N9" s="453">
        <f>transport!N14</f>
        <v>0</v>
      </c>
      <c r="O9" s="453">
        <f>transport!O14</f>
        <v>0</v>
      </c>
      <c r="P9" s="453">
        <f>transport!P14</f>
        <v>0</v>
      </c>
      <c r="Q9" s="452">
        <f>SUM(B9:P9)</f>
        <v>24030.809811448918</v>
      </c>
    </row>
    <row r="10" spans="1:17">
      <c r="A10" s="448" t="s">
        <v>558</v>
      </c>
      <c r="B10" s="449">
        <f>transport!B54</f>
        <v>2.090112210531426</v>
      </c>
      <c r="C10" s="449">
        <f>transport!C54</f>
        <v>0</v>
      </c>
      <c r="D10" s="449">
        <f>transport!D54</f>
        <v>0</v>
      </c>
      <c r="E10" s="449">
        <f>transport!E54</f>
        <v>0</v>
      </c>
      <c r="F10" s="449">
        <f>transport!F54</f>
        <v>0</v>
      </c>
      <c r="G10" s="449">
        <f>transport!G54</f>
        <v>416.87700118330054</v>
      </c>
      <c r="H10" s="449">
        <f>transport!H54</f>
        <v>0</v>
      </c>
      <c r="I10" s="449">
        <f>transport!I54</f>
        <v>0</v>
      </c>
      <c r="J10" s="449">
        <f>transport!J54</f>
        <v>0</v>
      </c>
      <c r="K10" s="449">
        <f>transport!K54</f>
        <v>0</v>
      </c>
      <c r="L10" s="449">
        <f>transport!L54</f>
        <v>0</v>
      </c>
      <c r="M10" s="449">
        <f>transport!M54</f>
        <v>18.425519453372367</v>
      </c>
      <c r="N10" s="449">
        <f>transport!N54</f>
        <v>0</v>
      </c>
      <c r="O10" s="449">
        <f>transport!O54</f>
        <v>0</v>
      </c>
      <c r="P10" s="450">
        <f>transport!P54</f>
        <v>0</v>
      </c>
      <c r="Q10" s="448">
        <f t="shared" si="0"/>
        <v>437.39263284720431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1528.41389030093</v>
      </c>
      <c r="C14" s="456"/>
      <c r="D14" s="456">
        <f>'SEAP template'!E25</f>
        <v>1059.19733041372</v>
      </c>
      <c r="E14" s="456"/>
      <c r="F14" s="456"/>
      <c r="G14" s="456"/>
      <c r="H14" s="456"/>
      <c r="I14" s="456"/>
      <c r="J14" s="456"/>
      <c r="K14" s="456"/>
      <c r="L14" s="456"/>
      <c r="M14" s="456"/>
      <c r="N14" s="456"/>
      <c r="O14" s="456"/>
      <c r="P14" s="457"/>
      <c r="Q14" s="448">
        <f t="shared" si="0"/>
        <v>2587.6112207146498</v>
      </c>
    </row>
    <row r="15" spans="1:17" s="461" customFormat="1">
      <c r="A15" s="458" t="s">
        <v>562</v>
      </c>
      <c r="B15" s="459">
        <f ca="1">SUM(B4:B14)</f>
        <v>36497.312658913186</v>
      </c>
      <c r="C15" s="459">
        <f t="shared" ref="C15:Q15" ca="1" si="1">SUM(C4:C14)</f>
        <v>0</v>
      </c>
      <c r="D15" s="459">
        <f t="shared" ca="1" si="1"/>
        <v>64403.405102397111</v>
      </c>
      <c r="E15" s="459">
        <f t="shared" si="1"/>
        <v>1475.7268197666426</v>
      </c>
      <c r="F15" s="459">
        <f t="shared" ca="1" si="1"/>
        <v>43394.270657577588</v>
      </c>
      <c r="G15" s="459">
        <f t="shared" si="1"/>
        <v>19476.506379815961</v>
      </c>
      <c r="H15" s="459">
        <f t="shared" si="1"/>
        <v>3842.2347649117637</v>
      </c>
      <c r="I15" s="459">
        <f t="shared" si="1"/>
        <v>0</v>
      </c>
      <c r="J15" s="459">
        <f t="shared" si="1"/>
        <v>778.24400507961877</v>
      </c>
      <c r="K15" s="459">
        <f t="shared" si="1"/>
        <v>0</v>
      </c>
      <c r="L15" s="459">
        <f t="shared" ca="1" si="1"/>
        <v>0</v>
      </c>
      <c r="M15" s="459">
        <f t="shared" si="1"/>
        <v>1042.492046066827</v>
      </c>
      <c r="N15" s="459">
        <f t="shared" ca="1" si="1"/>
        <v>7377.8139080963083</v>
      </c>
      <c r="O15" s="459">
        <f t="shared" si="1"/>
        <v>51.589999999999996</v>
      </c>
      <c r="P15" s="459">
        <f t="shared" si="1"/>
        <v>286</v>
      </c>
      <c r="Q15" s="459">
        <f t="shared" ca="1" si="1"/>
        <v>178625.59634262498</v>
      </c>
    </row>
    <row r="17" spans="1:17">
      <c r="A17" s="462" t="s">
        <v>563</v>
      </c>
      <c r="B17" s="766">
        <f ca="1">huishoudens!B10</f>
        <v>0.2051668211797904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3944.7656128128342</v>
      </c>
      <c r="C22" s="449">
        <f t="shared" ref="C22:C32" ca="1" si="3">C4*$C$17</f>
        <v>0</v>
      </c>
      <c r="D22" s="449">
        <f t="shared" ref="D22:D32" si="4">D4*$D$17</f>
        <v>6345.0524170345871</v>
      </c>
      <c r="E22" s="449">
        <f t="shared" ref="E22:E32" si="5">E4*$E$17</f>
        <v>276.69717164413208</v>
      </c>
      <c r="F22" s="449">
        <f t="shared" ref="F22:F32" si="6">F4*$F$17</f>
        <v>9922.1592322623419</v>
      </c>
      <c r="G22" s="449">
        <f t="shared" ref="G22:G32" si="7">G4*$G$17</f>
        <v>0</v>
      </c>
      <c r="H22" s="449">
        <f t="shared" ref="H22:H32" si="8">H4*$H$17</f>
        <v>0</v>
      </c>
      <c r="I22" s="449">
        <f t="shared" ref="I22:I32" si="9">I4*$I$17</f>
        <v>0</v>
      </c>
      <c r="J22" s="449">
        <f t="shared" ref="J22:J32" si="10">J4*$J$17</f>
        <v>238.69692571071371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20727.371359464607</v>
      </c>
    </row>
    <row r="23" spans="1:17">
      <c r="A23" s="448" t="s">
        <v>155</v>
      </c>
      <c r="B23" s="449">
        <f t="shared" ca="1" si="2"/>
        <v>1779.263653269561</v>
      </c>
      <c r="C23" s="449">
        <f t="shared" ca="1" si="3"/>
        <v>0</v>
      </c>
      <c r="D23" s="449">
        <f t="shared" ca="1" si="4"/>
        <v>1482.6212227923588</v>
      </c>
      <c r="E23" s="449">
        <f t="shared" si="5"/>
        <v>23.384865444068918</v>
      </c>
      <c r="F23" s="449">
        <f t="shared" ca="1" si="6"/>
        <v>467.09762909215652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3752.3673705981455</v>
      </c>
    </row>
    <row r="24" spans="1:17">
      <c r="A24" s="448" t="s">
        <v>193</v>
      </c>
      <c r="B24" s="449">
        <f t="shared" ca="1" si="2"/>
        <v>159.27674795286433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159.27674795286433</v>
      </c>
    </row>
    <row r="25" spans="1:17">
      <c r="A25" s="448" t="s">
        <v>111</v>
      </c>
      <c r="B25" s="449">
        <f t="shared" ca="1" si="2"/>
        <v>148.94838505906245</v>
      </c>
      <c r="C25" s="449">
        <f t="shared" ca="1" si="3"/>
        <v>0</v>
      </c>
      <c r="D25" s="449">
        <f t="shared" si="4"/>
        <v>0.71881367114368622</v>
      </c>
      <c r="E25" s="449">
        <f t="shared" si="5"/>
        <v>1.5525168357074794</v>
      </c>
      <c r="F25" s="449">
        <f t="shared" si="6"/>
        <v>632.55919489254916</v>
      </c>
      <c r="G25" s="449">
        <f t="shared" si="7"/>
        <v>0</v>
      </c>
      <c r="H25" s="449">
        <f t="shared" si="8"/>
        <v>0</v>
      </c>
      <c r="I25" s="449">
        <f t="shared" si="9"/>
        <v>0</v>
      </c>
      <c r="J25" s="449">
        <f t="shared" si="10"/>
        <v>31.792062781752918</v>
      </c>
      <c r="K25" s="449">
        <f t="shared" si="11"/>
        <v>0</v>
      </c>
      <c r="L25" s="449">
        <f t="shared" si="12"/>
        <v>0</v>
      </c>
      <c r="M25" s="449">
        <f t="shared" si="13"/>
        <v>0</v>
      </c>
      <c r="N25" s="449">
        <f t="shared" si="14"/>
        <v>0</v>
      </c>
      <c r="O25" s="449">
        <f t="shared" si="15"/>
        <v>0</v>
      </c>
      <c r="P25" s="450">
        <f t="shared" si="16"/>
        <v>0</v>
      </c>
      <c r="Q25" s="448">
        <f t="shared" ca="1" si="17"/>
        <v>815.57097324021561</v>
      </c>
    </row>
    <row r="26" spans="1:17">
      <c r="A26" s="448" t="s">
        <v>671</v>
      </c>
      <c r="B26" s="449">
        <f t="shared" ca="1" si="2"/>
        <v>1141.517394742008</v>
      </c>
      <c r="C26" s="449">
        <f t="shared" ca="1" si="3"/>
        <v>0</v>
      </c>
      <c r="D26" s="449">
        <f t="shared" si="4"/>
        <v>4966.8155400567093</v>
      </c>
      <c r="E26" s="449">
        <f t="shared" si="5"/>
        <v>10.194247820500904</v>
      </c>
      <c r="F26" s="449">
        <f t="shared" si="6"/>
        <v>564.45420932617048</v>
      </c>
      <c r="G26" s="449">
        <f t="shared" si="7"/>
        <v>0</v>
      </c>
      <c r="H26" s="449">
        <f t="shared" si="8"/>
        <v>0</v>
      </c>
      <c r="I26" s="449">
        <f t="shared" si="9"/>
        <v>0</v>
      </c>
      <c r="J26" s="449">
        <f t="shared" si="10"/>
        <v>5.0093893057184307</v>
      </c>
      <c r="K26" s="449">
        <f t="shared" si="11"/>
        <v>0</v>
      </c>
      <c r="L26" s="449">
        <f t="shared" si="12"/>
        <v>0</v>
      </c>
      <c r="M26" s="449">
        <f t="shared" si="13"/>
        <v>0</v>
      </c>
      <c r="N26" s="449">
        <f t="shared" si="14"/>
        <v>0</v>
      </c>
      <c r="O26" s="449">
        <f t="shared" si="15"/>
        <v>0</v>
      </c>
      <c r="P26" s="450">
        <f t="shared" si="16"/>
        <v>0</v>
      </c>
      <c r="Q26" s="448">
        <f t="shared" ca="1" si="17"/>
        <v>6687.9907812511074</v>
      </c>
    </row>
    <row r="27" spans="1:17" s="454" customFormat="1">
      <c r="A27" s="452" t="s">
        <v>568</v>
      </c>
      <c r="B27" s="760">
        <f t="shared" ca="1" si="2"/>
        <v>0.25718499959043917</v>
      </c>
      <c r="C27" s="453">
        <f t="shared" ca="1" si="3"/>
        <v>0</v>
      </c>
      <c r="D27" s="453">
        <f t="shared" si="4"/>
        <v>0.32197638584601329</v>
      </c>
      <c r="E27" s="453">
        <f t="shared" si="5"/>
        <v>23.161186342618524</v>
      </c>
      <c r="F27" s="453">
        <f t="shared" si="6"/>
        <v>0</v>
      </c>
      <c r="G27" s="453">
        <f t="shared" si="7"/>
        <v>5088.9210440949209</v>
      </c>
      <c r="H27" s="453">
        <f t="shared" si="8"/>
        <v>956.7164564630292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6069.3778482860052</v>
      </c>
    </row>
    <row r="28" spans="1:17">
      <c r="A28" s="448" t="s">
        <v>558</v>
      </c>
      <c r="B28" s="449">
        <f t="shared" ca="1" si="2"/>
        <v>0.42882167814379751</v>
      </c>
      <c r="C28" s="449">
        <f t="shared" ca="1" si="3"/>
        <v>0</v>
      </c>
      <c r="D28" s="449">
        <f t="shared" si="4"/>
        <v>0</v>
      </c>
      <c r="E28" s="449">
        <f t="shared" si="5"/>
        <v>0</v>
      </c>
      <c r="F28" s="449">
        <f t="shared" si="6"/>
        <v>0</v>
      </c>
      <c r="G28" s="449">
        <f t="shared" si="7"/>
        <v>111.30615931594124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111.73498099408503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313.57981932007868</v>
      </c>
      <c r="C32" s="449">
        <f t="shared" ca="1" si="3"/>
        <v>0</v>
      </c>
      <c r="D32" s="449">
        <f t="shared" si="4"/>
        <v>213.95786074357144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527.5376800636501</v>
      </c>
    </row>
    <row r="33" spans="1:17" s="461" customFormat="1">
      <c r="A33" s="458" t="s">
        <v>562</v>
      </c>
      <c r="B33" s="459">
        <f ca="1">SUM(B22:B32)</f>
        <v>7488.0376198341437</v>
      </c>
      <c r="C33" s="459">
        <f t="shared" ref="C33:Q33" ca="1" si="18">SUM(C22:C32)</f>
        <v>0</v>
      </c>
      <c r="D33" s="459">
        <f t="shared" ca="1" si="18"/>
        <v>13009.487830684215</v>
      </c>
      <c r="E33" s="459">
        <f t="shared" si="18"/>
        <v>334.98998808702788</v>
      </c>
      <c r="F33" s="459">
        <f t="shared" ca="1" si="18"/>
        <v>11586.270265573217</v>
      </c>
      <c r="G33" s="459">
        <f t="shared" si="18"/>
        <v>5200.2272034108619</v>
      </c>
      <c r="H33" s="459">
        <f t="shared" si="18"/>
        <v>956.7164564630292</v>
      </c>
      <c r="I33" s="459">
        <f t="shared" si="18"/>
        <v>0</v>
      </c>
      <c r="J33" s="459">
        <f t="shared" si="18"/>
        <v>275.49837779818512</v>
      </c>
      <c r="K33" s="459">
        <f t="shared" si="18"/>
        <v>0</v>
      </c>
      <c r="L33" s="459">
        <f t="shared" ca="1" si="18"/>
        <v>0</v>
      </c>
      <c r="M33" s="459">
        <f t="shared" si="18"/>
        <v>0</v>
      </c>
      <c r="N33" s="459">
        <f t="shared" ca="1" si="18"/>
        <v>0</v>
      </c>
      <c r="O33" s="459">
        <f t="shared" si="18"/>
        <v>0</v>
      </c>
      <c r="P33" s="459">
        <f t="shared" si="18"/>
        <v>0</v>
      </c>
      <c r="Q33" s="459">
        <f t="shared" ca="1" si="18"/>
        <v>38851.227741850686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2614.7894922428591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2614.7894922428591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0.2051668211797904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0.2051668211797904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0.2051668211797904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0.2051668211797904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4250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439</v>
      </c>
      <c r="C14" s="327"/>
      <c r="D14" s="327"/>
      <c r="E14" s="327"/>
      <c r="F14" s="327"/>
    </row>
    <row r="15" spans="1:6">
      <c r="A15" s="1295" t="s">
        <v>183</v>
      </c>
      <c r="B15" s="1296">
        <v>571</v>
      </c>
      <c r="C15" s="327"/>
      <c r="D15" s="327"/>
      <c r="E15" s="327"/>
      <c r="F15" s="327"/>
    </row>
    <row r="16" spans="1:6">
      <c r="A16" s="1295" t="s">
        <v>6</v>
      </c>
      <c r="B16" s="1296">
        <v>196</v>
      </c>
      <c r="C16" s="327"/>
      <c r="D16" s="327"/>
      <c r="E16" s="327"/>
      <c r="F16" s="327"/>
    </row>
    <row r="17" spans="1:6">
      <c r="A17" s="1295" t="s">
        <v>7</v>
      </c>
      <c r="B17" s="1296">
        <v>37</v>
      </c>
      <c r="C17" s="327"/>
      <c r="D17" s="327"/>
      <c r="E17" s="327"/>
      <c r="F17" s="327"/>
    </row>
    <row r="18" spans="1:6">
      <c r="A18" s="1295" t="s">
        <v>8</v>
      </c>
      <c r="B18" s="1296">
        <v>168</v>
      </c>
      <c r="C18" s="327"/>
      <c r="D18" s="327"/>
      <c r="E18" s="327"/>
      <c r="F18" s="327"/>
    </row>
    <row r="19" spans="1:6">
      <c r="A19" s="1295" t="s">
        <v>9</v>
      </c>
      <c r="B19" s="1296">
        <v>146</v>
      </c>
      <c r="C19" s="327"/>
      <c r="D19" s="327"/>
      <c r="E19" s="327"/>
      <c r="F19" s="327"/>
    </row>
    <row r="20" spans="1:6">
      <c r="A20" s="1295" t="s">
        <v>10</v>
      </c>
      <c r="B20" s="1296">
        <v>70</v>
      </c>
      <c r="C20" s="327"/>
      <c r="D20" s="327"/>
      <c r="E20" s="327"/>
      <c r="F20" s="327"/>
    </row>
    <row r="21" spans="1:6">
      <c r="A21" s="1295" t="s">
        <v>11</v>
      </c>
      <c r="B21" s="1296">
        <v>0</v>
      </c>
      <c r="C21" s="327"/>
      <c r="D21" s="327"/>
      <c r="E21" s="327"/>
      <c r="F21" s="327"/>
    </row>
    <row r="22" spans="1:6">
      <c r="A22" s="1295" t="s">
        <v>12</v>
      </c>
      <c r="B22" s="1296">
        <v>160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647</v>
      </c>
      <c r="C27" s="327"/>
      <c r="D27" s="327"/>
      <c r="E27" s="327"/>
      <c r="F27" s="327"/>
    </row>
    <row r="28" spans="1:6" s="44" customFormat="1">
      <c r="A28" s="1297" t="s">
        <v>18</v>
      </c>
      <c r="B28" s="1298">
        <v>39770</v>
      </c>
      <c r="C28" s="333"/>
      <c r="D28" s="333"/>
      <c r="E28" s="333"/>
      <c r="F28" s="333"/>
    </row>
    <row r="29" spans="1:6">
      <c r="A29" s="1297" t="s">
        <v>961</v>
      </c>
      <c r="B29" s="1298">
        <v>56</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108283.02085065001</v>
      </c>
      <c r="E38" s="1296">
        <v>0</v>
      </c>
      <c r="F38" s="1296">
        <v>0</v>
      </c>
    </row>
    <row r="39" spans="1:6">
      <c r="A39" s="1295" t="s">
        <v>29</v>
      </c>
      <c r="B39" s="1295" t="s">
        <v>30</v>
      </c>
      <c r="C39" s="1296">
        <v>1991</v>
      </c>
      <c r="D39" s="1296">
        <v>34823891.9948771</v>
      </c>
      <c r="E39" s="1296">
        <v>4319</v>
      </c>
      <c r="F39" s="1296">
        <v>17508202.813718401</v>
      </c>
    </row>
    <row r="40" spans="1:6">
      <c r="A40" s="1295" t="s">
        <v>29</v>
      </c>
      <c r="B40" s="1295" t="s">
        <v>28</v>
      </c>
      <c r="C40" s="1296">
        <v>0</v>
      </c>
      <c r="D40" s="1296">
        <v>0</v>
      </c>
      <c r="E40" s="1296">
        <v>0</v>
      </c>
      <c r="F40" s="1296">
        <v>0</v>
      </c>
    </row>
    <row r="41" spans="1:6">
      <c r="A41" s="1295" t="s">
        <v>31</v>
      </c>
      <c r="B41" s="1295" t="s">
        <v>32</v>
      </c>
      <c r="C41" s="1296">
        <v>12</v>
      </c>
      <c r="D41" s="1296">
        <v>586880.27150540904</v>
      </c>
      <c r="E41" s="1296">
        <v>72</v>
      </c>
      <c r="F41" s="1296">
        <v>1837224.9143505499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21</v>
      </c>
      <c r="D48" s="1296">
        <v>26672760.241637599</v>
      </c>
      <c r="E48" s="1296">
        <v>22</v>
      </c>
      <c r="F48" s="1296">
        <v>2778671.2739378298</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947953.69824703201</v>
      </c>
    </row>
    <row r="51" spans="1:6">
      <c r="A51" s="1295" t="s">
        <v>41</v>
      </c>
      <c r="B51" s="1295" t="s">
        <v>42</v>
      </c>
      <c r="C51" s="1296">
        <v>0</v>
      </c>
      <c r="D51" s="1296">
        <v>0</v>
      </c>
      <c r="E51" s="1296">
        <v>16</v>
      </c>
      <c r="F51" s="1296">
        <v>644770.25604825804</v>
      </c>
    </row>
    <row r="52" spans="1:6">
      <c r="A52" s="1295" t="s">
        <v>41</v>
      </c>
      <c r="B52" s="1295" t="s">
        <v>28</v>
      </c>
      <c r="C52" s="1296">
        <v>1</v>
      </c>
      <c r="D52" s="1296">
        <v>3945.1036812786001</v>
      </c>
      <c r="E52" s="1296">
        <v>5</v>
      </c>
      <c r="F52" s="1296">
        <v>81216.451756397102</v>
      </c>
    </row>
    <row r="53" spans="1:6">
      <c r="A53" s="1295" t="s">
        <v>43</v>
      </c>
      <c r="B53" s="1295" t="s">
        <v>44</v>
      </c>
      <c r="C53" s="1296">
        <v>41</v>
      </c>
      <c r="D53" s="1296">
        <v>1059197.3304137201</v>
      </c>
      <c r="E53" s="1296">
        <v>102</v>
      </c>
      <c r="F53" s="1296">
        <v>1528413.89030093</v>
      </c>
    </row>
    <row r="54" spans="1:6">
      <c r="A54" s="1295" t="s">
        <v>45</v>
      </c>
      <c r="B54" s="1295" t="s">
        <v>46</v>
      </c>
      <c r="C54" s="1296">
        <v>0</v>
      </c>
      <c r="D54" s="1296">
        <v>0</v>
      </c>
      <c r="E54" s="1296">
        <v>1</v>
      </c>
      <c r="F54" s="1296">
        <v>776328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707457.78876495198</v>
      </c>
      <c r="E57" s="1296">
        <v>24</v>
      </c>
      <c r="F57" s="1296">
        <v>842126.785002299</v>
      </c>
    </row>
    <row r="58" spans="1:6">
      <c r="A58" s="1295" t="s">
        <v>48</v>
      </c>
      <c r="B58" s="1295" t="s">
        <v>50</v>
      </c>
      <c r="C58" s="1296">
        <v>5</v>
      </c>
      <c r="D58" s="1296">
        <v>118941.337318051</v>
      </c>
      <c r="E58" s="1296">
        <v>9</v>
      </c>
      <c r="F58" s="1296">
        <v>110506.374953262</v>
      </c>
    </row>
    <row r="59" spans="1:6">
      <c r="A59" s="1295" t="s">
        <v>48</v>
      </c>
      <c r="B59" s="1295" t="s">
        <v>51</v>
      </c>
      <c r="C59" s="1296">
        <v>18</v>
      </c>
      <c r="D59" s="1296">
        <v>382182.38427080202</v>
      </c>
      <c r="E59" s="1296">
        <v>73</v>
      </c>
      <c r="F59" s="1296">
        <v>1218847.6587173201</v>
      </c>
    </row>
    <row r="60" spans="1:6">
      <c r="A60" s="1295" t="s">
        <v>48</v>
      </c>
      <c r="B60" s="1295" t="s">
        <v>52</v>
      </c>
      <c r="C60" s="1296">
        <v>26</v>
      </c>
      <c r="D60" s="1296">
        <v>1513011.5948141201</v>
      </c>
      <c r="E60" s="1296">
        <v>46</v>
      </c>
      <c r="F60" s="1296">
        <v>982629.23704271496</v>
      </c>
    </row>
    <row r="61" spans="1:6">
      <c r="A61" s="1295" t="s">
        <v>48</v>
      </c>
      <c r="B61" s="1295" t="s">
        <v>53</v>
      </c>
      <c r="C61" s="1296">
        <v>50</v>
      </c>
      <c r="D61" s="1296">
        <v>2895829.4081935599</v>
      </c>
      <c r="E61" s="1296">
        <v>118</v>
      </c>
      <c r="F61" s="1296">
        <v>1316699.7756934001</v>
      </c>
    </row>
    <row r="62" spans="1:6">
      <c r="A62" s="1295" t="s">
        <v>48</v>
      </c>
      <c r="B62" s="1295" t="s">
        <v>54</v>
      </c>
      <c r="C62" s="1296">
        <v>0</v>
      </c>
      <c r="D62" s="1296">
        <v>0</v>
      </c>
      <c r="E62" s="1296">
        <v>0</v>
      </c>
      <c r="F62" s="1296">
        <v>0</v>
      </c>
    </row>
    <row r="63" spans="1:6">
      <c r="A63" s="1295" t="s">
        <v>48</v>
      </c>
      <c r="B63" s="1295" t="s">
        <v>28</v>
      </c>
      <c r="C63" s="1296">
        <v>60</v>
      </c>
      <c r="D63" s="1296">
        <v>2519727.1803464401</v>
      </c>
      <c r="E63" s="1296">
        <v>97</v>
      </c>
      <c r="F63" s="1296">
        <v>4201467.89380062</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455274.63134575001</v>
      </c>
      <c r="E68" s="1299">
        <v>12</v>
      </c>
      <c r="F68" s="1299">
        <v>239729.93253308701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26182240</v>
      </c>
      <c r="E73" s="447"/>
      <c r="F73" s="327"/>
    </row>
    <row r="74" spans="1:6">
      <c r="A74" s="1295" t="s">
        <v>63</v>
      </c>
      <c r="B74" s="1295" t="s">
        <v>755</v>
      </c>
      <c r="C74" s="1309" t="s">
        <v>749</v>
      </c>
      <c r="D74" s="1310">
        <v>1061801.7162057112</v>
      </c>
      <c r="E74" s="447"/>
      <c r="F74" s="327"/>
    </row>
    <row r="75" spans="1:6">
      <c r="A75" s="1295" t="s">
        <v>64</v>
      </c>
      <c r="B75" s="1295" t="s">
        <v>754</v>
      </c>
      <c r="C75" s="1309" t="s">
        <v>750</v>
      </c>
      <c r="D75" s="1310">
        <v>5224134</v>
      </c>
      <c r="E75" s="447"/>
      <c r="F75" s="327"/>
    </row>
    <row r="76" spans="1:6">
      <c r="A76" s="1295" t="s">
        <v>64</v>
      </c>
      <c r="B76" s="1295" t="s">
        <v>755</v>
      </c>
      <c r="C76" s="1309" t="s">
        <v>751</v>
      </c>
      <c r="D76" s="1310">
        <v>148503.71620571121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115150.56758857756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1718.909982243787</v>
      </c>
      <c r="C91" s="327"/>
      <c r="D91" s="327"/>
      <c r="E91" s="327"/>
      <c r="F91" s="327"/>
    </row>
    <row r="92" spans="1:6">
      <c r="A92" s="1290" t="s">
        <v>68</v>
      </c>
      <c r="B92" s="1291">
        <v>895.87950999907218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846</v>
      </c>
      <c r="C97" s="327"/>
      <c r="D97" s="327"/>
      <c r="E97" s="327"/>
      <c r="F97" s="327"/>
    </row>
    <row r="98" spans="1:6">
      <c r="A98" s="1295" t="s">
        <v>71</v>
      </c>
      <c r="B98" s="1296">
        <v>4</v>
      </c>
      <c r="C98" s="327"/>
      <c r="D98" s="327"/>
      <c r="E98" s="327"/>
      <c r="F98" s="327"/>
    </row>
    <row r="99" spans="1:6">
      <c r="A99" s="1295" t="s">
        <v>72</v>
      </c>
      <c r="B99" s="1296">
        <v>80</v>
      </c>
      <c r="C99" s="327"/>
      <c r="D99" s="327"/>
      <c r="E99" s="327"/>
      <c r="F99" s="327"/>
    </row>
    <row r="100" spans="1:6">
      <c r="A100" s="1295" t="s">
        <v>73</v>
      </c>
      <c r="B100" s="1296">
        <v>171</v>
      </c>
      <c r="C100" s="327"/>
      <c r="D100" s="327"/>
      <c r="E100" s="327"/>
      <c r="F100" s="327"/>
    </row>
    <row r="101" spans="1:6">
      <c r="A101" s="1295" t="s">
        <v>74</v>
      </c>
      <c r="B101" s="1296">
        <v>55</v>
      </c>
      <c r="C101" s="327"/>
      <c r="D101" s="327"/>
      <c r="E101" s="327"/>
      <c r="F101" s="327"/>
    </row>
    <row r="102" spans="1:6">
      <c r="A102" s="1295" t="s">
        <v>75</v>
      </c>
      <c r="B102" s="1296">
        <v>38</v>
      </c>
      <c r="C102" s="327"/>
      <c r="D102" s="327"/>
      <c r="E102" s="327"/>
      <c r="F102" s="327"/>
    </row>
    <row r="103" spans="1:6">
      <c r="A103" s="1295" t="s">
        <v>76</v>
      </c>
      <c r="B103" s="1296">
        <v>101</v>
      </c>
      <c r="C103" s="327"/>
      <c r="D103" s="327"/>
      <c r="E103" s="327"/>
      <c r="F103" s="327"/>
    </row>
    <row r="104" spans="1:6">
      <c r="A104" s="1295" t="s">
        <v>77</v>
      </c>
      <c r="B104" s="1296">
        <v>2194</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16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17</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36497.312658913186</v>
      </c>
      <c r="C3" s="44" t="s">
        <v>169</v>
      </c>
      <c r="D3" s="44"/>
      <c r="E3" s="157"/>
      <c r="F3" s="44"/>
      <c r="G3" s="44"/>
      <c r="H3" s="44"/>
      <c r="I3" s="44"/>
      <c r="J3" s="44"/>
      <c r="K3" s="97"/>
    </row>
    <row r="4" spans="1:11">
      <c r="A4" s="354" t="s">
        <v>170</v>
      </c>
      <c r="B4" s="50">
        <f>IF(ISERROR('SEAP template'!B78+'SEAP template'!C78),0,'SEAP template'!B78+'SEAP template'!C78)</f>
        <v>2614.7894922428591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0.2051668211797904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776.32799999999997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776.32799999999997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0.2051668211797904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159.27674795286433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17508.202813718402</v>
      </c>
      <c r="C5" s="18">
        <f>IF(ISERROR('Eigen informatie GS &amp; warmtenet'!B57),0,'Eigen informatie GS &amp; warmtenet'!B57)</f>
        <v>0</v>
      </c>
      <c r="D5" s="31">
        <f>(SUM(HH_hh_gas_kWh,HH_rest_gas_kWh)/1000)*0.902</f>
        <v>31411.150579379144</v>
      </c>
      <c r="E5" s="18">
        <f>B32*B41</f>
        <v>1218.9302715600531</v>
      </c>
      <c r="F5" s="18">
        <f>B36*B45</f>
        <v>37161.645064652963</v>
      </c>
      <c r="G5" s="19"/>
      <c r="H5" s="18"/>
      <c r="I5" s="18"/>
      <c r="J5" s="18">
        <f>B35*B44+C35*C44</f>
        <v>674.28510087772236</v>
      </c>
      <c r="K5" s="18"/>
      <c r="L5" s="18"/>
      <c r="M5" s="18"/>
      <c r="N5" s="18">
        <f>B34*B43+C34*C43</f>
        <v>6369.7593886697796</v>
      </c>
      <c r="O5" s="18">
        <f>B52*B53*B54</f>
        <v>51.589999999999996</v>
      </c>
      <c r="P5" s="18">
        <f>B60*B61*B62/1000-B60*B61*B62/1000/B63</f>
        <v>286</v>
      </c>
    </row>
    <row r="6" spans="1:16">
      <c r="A6" s="17" t="s">
        <v>628</v>
      </c>
      <c r="B6" s="768">
        <f>kWh_PV_kleiner_dan_10kW</f>
        <v>1718.909982243787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19227.112795962188</v>
      </c>
      <c r="C8" s="22">
        <f>C5</f>
        <v>0</v>
      </c>
      <c r="D8" s="22">
        <f>D5</f>
        <v>31411.150579379144</v>
      </c>
      <c r="E8" s="22">
        <f>E5</f>
        <v>1218.9302715600531</v>
      </c>
      <c r="F8" s="22">
        <f>F5</f>
        <v>37161.645064652963</v>
      </c>
      <c r="G8" s="22"/>
      <c r="H8" s="22"/>
      <c r="I8" s="22"/>
      <c r="J8" s="22">
        <f>J5</f>
        <v>674.28510087772236</v>
      </c>
      <c r="K8" s="22"/>
      <c r="L8" s="22">
        <f>L5</f>
        <v>0</v>
      </c>
      <c r="M8" s="22">
        <f>M5</f>
        <v>0</v>
      </c>
      <c r="N8" s="22">
        <f>N5</f>
        <v>6369.7593886697796</v>
      </c>
      <c r="O8" s="22">
        <f>O5</f>
        <v>51.589999999999996</v>
      </c>
      <c r="P8" s="22">
        <f>P5</f>
        <v>286</v>
      </c>
    </row>
    <row r="9" spans="1:16">
      <c r="B9" s="20"/>
      <c r="C9" s="20"/>
      <c r="D9" s="258"/>
      <c r="E9" s="20"/>
      <c r="F9" s="20"/>
      <c r="G9" s="20"/>
      <c r="H9" s="20"/>
      <c r="I9" s="20"/>
      <c r="J9" s="20"/>
      <c r="K9" s="20"/>
      <c r="L9" s="20"/>
      <c r="M9" s="20"/>
      <c r="N9" s="20"/>
      <c r="O9" s="20"/>
      <c r="P9" s="20"/>
    </row>
    <row r="10" spans="1:16">
      <c r="A10" s="25" t="s">
        <v>213</v>
      </c>
      <c r="B10" s="26">
        <f ca="1">'EF ele_warmte'!B12</f>
        <v>0.2051668211797904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3944.7656128128342</v>
      </c>
      <c r="C12" s="24">
        <f ca="1">C10*C8</f>
        <v>0</v>
      </c>
      <c r="D12" s="24">
        <f>D8*D10</f>
        <v>6345.0524170345871</v>
      </c>
      <c r="E12" s="24">
        <f>E10*E8</f>
        <v>276.69717164413208</v>
      </c>
      <c r="F12" s="24">
        <f>F10*F8</f>
        <v>9922.1592322623419</v>
      </c>
      <c r="G12" s="24"/>
      <c r="H12" s="24"/>
      <c r="I12" s="24"/>
      <c r="J12" s="24">
        <f>J10*J8</f>
        <v>238.69692571071371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4250</v>
      </c>
      <c r="C26" s="37"/>
      <c r="D26" s="228"/>
    </row>
    <row r="27" spans="1:5" s="16" customFormat="1">
      <c r="A27" s="230" t="s">
        <v>654</v>
      </c>
      <c r="B27" s="38">
        <f>SUM(HH_hh_gas_aantal,HH_rest_gas_aantal)</f>
        <v>1991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1891.45</v>
      </c>
      <c r="C31" s="35" t="s">
        <v>110</v>
      </c>
      <c r="D31" s="174"/>
    </row>
    <row r="32" spans="1:5">
      <c r="A32" s="171" t="s">
        <v>72</v>
      </c>
      <c r="B32" s="34">
        <f>IF((B21*($B$26-($B$27-0.05*$B$27)-$B$60))&lt;0,0,B21*($B$26-($B$27-0.05*$B$27)-$B$60))</f>
        <v>57.593515953500592</v>
      </c>
      <c r="C32" s="35" t="s">
        <v>110</v>
      </c>
      <c r="D32" s="174"/>
    </row>
    <row r="33" spans="1:6">
      <c r="A33" s="171" t="s">
        <v>73</v>
      </c>
      <c r="B33" s="34">
        <f>IF((B22*($B$26-($B$27-0.05*$B$27)-$B$60))&lt;0,0,B22*($B$26-($B$27-0.05*$B$27)-$B$60))</f>
        <v>387.67191031786871</v>
      </c>
      <c r="C33" s="35" t="s">
        <v>110</v>
      </c>
      <c r="D33" s="174"/>
    </row>
    <row r="34" spans="1:6">
      <c r="A34" s="171" t="s">
        <v>74</v>
      </c>
      <c r="B34" s="34">
        <f>IF((B24*($B$26-($B$27-0.05*$B$27)-$B$60))&lt;0,0,B24*($B$26-($B$27-0.05*$B$27)-$B$60))</f>
        <v>98.321767840068759</v>
      </c>
      <c r="C34" s="34">
        <f>B26*C24</f>
        <v>869.13489259355708</v>
      </c>
      <c r="D34" s="233"/>
    </row>
    <row r="35" spans="1:6">
      <c r="A35" s="171" t="s">
        <v>76</v>
      </c>
      <c r="B35" s="34">
        <f>IF((B19*($B$26-($B$27-0.05*$B$27)-$B$60))&lt;0,0,B19*($B$26-($B$27-0.05*$B$27)-$B$60))</f>
        <v>36.552921802175433</v>
      </c>
      <c r="C35" s="34">
        <f>B35/2</f>
        <v>18.276460901087717</v>
      </c>
      <c r="D35" s="233"/>
    </row>
    <row r="36" spans="1:6">
      <c r="A36" s="171" t="s">
        <v>77</v>
      </c>
      <c r="B36" s="34">
        <f>IF((B18*($B$26-($B$27-0.05*$B$27)-$B$60))&lt;0,0,B18*($B$26-($B$27-0.05*$B$27)-$B$60))</f>
        <v>1763.409884086386</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8672.2777252096166</v>
      </c>
      <c r="C5" s="18">
        <f>IF(ISERROR('Eigen informatie GS &amp; warmtenet'!B58),0,'Eigen informatie GS &amp; warmtenet'!B58)</f>
        <v>0</v>
      </c>
      <c r="D5" s="31">
        <f>SUM(D6:D12)</f>
        <v>7339.7090237245484</v>
      </c>
      <c r="E5" s="18">
        <f>SUM(E6:E12)</f>
        <v>103.01702838796879</v>
      </c>
      <c r="F5" s="18">
        <f>SUM(F6:F12)</f>
        <v>1749.4293224425337</v>
      </c>
      <c r="G5" s="19"/>
      <c r="H5" s="18"/>
      <c r="I5" s="18"/>
      <c r="J5" s="18">
        <f>SUM(J6:J12)</f>
        <v>0</v>
      </c>
      <c r="K5" s="18"/>
      <c r="L5" s="18"/>
      <c r="M5" s="18"/>
      <c r="N5" s="18">
        <f>SUM(N6:N12)</f>
        <v>769.52207661975206</v>
      </c>
      <c r="O5" s="18">
        <f>B38*B39*B40</f>
        <v>0</v>
      </c>
      <c r="P5" s="18">
        <f>B46*B47*B48/1000-B46*B47*B48/1000/B49</f>
        <v>0</v>
      </c>
      <c r="R5" s="33"/>
    </row>
    <row r="6" spans="1:18">
      <c r="A6" s="33" t="s">
        <v>53</v>
      </c>
      <c r="B6" s="38">
        <f>B26</f>
        <v>1316.6997756934002</v>
      </c>
      <c r="C6" s="34"/>
      <c r="D6" s="38">
        <f>IF(ISERROR(TER_kantoor_gas_kWh/1000),0,TER_kantoor_gas_kWh/1000)*0.902</f>
        <v>2612.0381261905909</v>
      </c>
      <c r="E6" s="34">
        <f>$C$26*'E Balans VL '!I12/100/3.6*1000000</f>
        <v>2.1609711951577593</v>
      </c>
      <c r="F6" s="34">
        <f>$C$26*('E Balans VL '!L12+'E Balans VL '!N12)/100/3.6*1000000</f>
        <v>155.20792329089889</v>
      </c>
      <c r="G6" s="35"/>
      <c r="H6" s="34"/>
      <c r="I6" s="34"/>
      <c r="J6" s="34">
        <f>$C$26*('E Balans VL '!D12+'E Balans VL '!E12)/100/3.6*1000000</f>
        <v>0</v>
      </c>
      <c r="K6" s="34"/>
      <c r="L6" s="34"/>
      <c r="M6" s="34"/>
      <c r="N6" s="34">
        <f>$C$26*'E Balans VL '!Y12/100/3.6*1000000</f>
        <v>0.26603295459496351</v>
      </c>
      <c r="O6" s="34"/>
      <c r="P6" s="34"/>
      <c r="R6" s="33"/>
    </row>
    <row r="7" spans="1:18">
      <c r="A7" s="33" t="s">
        <v>52</v>
      </c>
      <c r="B7" s="38">
        <f t="shared" ref="B7:B12" si="0">B27</f>
        <v>982.62923704271498</v>
      </c>
      <c r="C7" s="34"/>
      <c r="D7" s="38">
        <f>IF(ISERROR(TER_horeca_gas_kWh/1000),0,TER_horeca_gas_kWh/1000)*0.902</f>
        <v>1364.7364585223363</v>
      </c>
      <c r="E7" s="34">
        <f>$C$27*'E Balans VL '!I9/100/3.6*1000000</f>
        <v>50.991346945199552</v>
      </c>
      <c r="F7" s="34">
        <f>$C$27*('E Balans VL '!L9+'E Balans VL '!N9)/100/3.6*1000000</f>
        <v>224.23670489245575</v>
      </c>
      <c r="G7" s="35"/>
      <c r="H7" s="34"/>
      <c r="I7" s="34"/>
      <c r="J7" s="34">
        <f>$C$27*('E Balans VL '!D9+'E Balans VL '!E9)/100/3.6*1000000</f>
        <v>0</v>
      </c>
      <c r="K7" s="34"/>
      <c r="L7" s="34"/>
      <c r="M7" s="34"/>
      <c r="N7" s="34">
        <f>$C$27*'E Balans VL '!Y9/100/3.6*1000000</f>
        <v>0.103765197122217</v>
      </c>
      <c r="O7" s="34"/>
      <c r="P7" s="34"/>
      <c r="R7" s="33"/>
    </row>
    <row r="8" spans="1:18">
      <c r="A8" s="6" t="s">
        <v>51</v>
      </c>
      <c r="B8" s="38">
        <f t="shared" si="0"/>
        <v>1218.84765871732</v>
      </c>
      <c r="C8" s="34"/>
      <c r="D8" s="38">
        <f>IF(ISERROR(TER_handel_gas_kWh/1000),0,TER_handel_gas_kWh/1000)*0.902</f>
        <v>344.72851061226339</v>
      </c>
      <c r="E8" s="34">
        <f>$C$28*'E Balans VL '!I13/100/3.6*1000000</f>
        <v>6.5636444186631211</v>
      </c>
      <c r="F8" s="34">
        <f>$C$28*('E Balans VL '!L13+'E Balans VL '!N13)/100/3.6*1000000</f>
        <v>248.55925850258026</v>
      </c>
      <c r="G8" s="35"/>
      <c r="H8" s="34"/>
      <c r="I8" s="34"/>
      <c r="J8" s="34">
        <f>$C$28*('E Balans VL '!D13+'E Balans VL '!E13)/100/3.6*1000000</f>
        <v>0</v>
      </c>
      <c r="K8" s="34"/>
      <c r="L8" s="34"/>
      <c r="M8" s="34"/>
      <c r="N8" s="34">
        <f>$C$28*'E Balans VL '!Y13/100/3.6*1000000</f>
        <v>6.0606857517937529</v>
      </c>
      <c r="O8" s="34"/>
      <c r="P8" s="34"/>
      <c r="R8" s="33"/>
    </row>
    <row r="9" spans="1:18">
      <c r="A9" s="33" t="s">
        <v>50</v>
      </c>
      <c r="B9" s="38">
        <f t="shared" si="0"/>
        <v>110.506374953262</v>
      </c>
      <c r="C9" s="34"/>
      <c r="D9" s="38">
        <f>IF(ISERROR(TER_gezond_gas_kWh/1000),0,TER_gezond_gas_kWh/1000)*0.902</f>
        <v>107.285086260882</v>
      </c>
      <c r="E9" s="34">
        <f>$C$29*'E Balans VL '!I10/100/3.6*1000000</f>
        <v>0.10951307425197772</v>
      </c>
      <c r="F9" s="34">
        <f>$C$29*('E Balans VL '!L10+'E Balans VL '!N10)/100/3.6*1000000</f>
        <v>38.34252688472295</v>
      </c>
      <c r="G9" s="35"/>
      <c r="H9" s="34"/>
      <c r="I9" s="34"/>
      <c r="J9" s="34">
        <f>$C$29*('E Balans VL '!D10+'E Balans VL '!E10)/100/3.6*1000000</f>
        <v>0</v>
      </c>
      <c r="K9" s="34"/>
      <c r="L9" s="34"/>
      <c r="M9" s="34"/>
      <c r="N9" s="34">
        <f>$C$29*'E Balans VL '!Y10/100/3.6*1000000</f>
        <v>0.95222385985089286</v>
      </c>
      <c r="O9" s="34"/>
      <c r="P9" s="34"/>
      <c r="R9" s="33"/>
    </row>
    <row r="10" spans="1:18">
      <c r="A10" s="33" t="s">
        <v>49</v>
      </c>
      <c r="B10" s="38">
        <f t="shared" si="0"/>
        <v>842.12678500229902</v>
      </c>
      <c r="C10" s="34"/>
      <c r="D10" s="38">
        <f>IF(ISERROR(TER_ander_gas_kWh/1000),0,TER_ander_gas_kWh/1000)*0.902</f>
        <v>638.12692546598669</v>
      </c>
      <c r="E10" s="34">
        <f>$C$30*'E Balans VL '!I14/100/3.6*1000000</f>
        <v>6.8894387471002227</v>
      </c>
      <c r="F10" s="34">
        <f>$C$30*('E Balans VL '!L14+'E Balans VL '!N14)/100/3.6*1000000</f>
        <v>246.20358753331493</v>
      </c>
      <c r="G10" s="35"/>
      <c r="H10" s="34"/>
      <c r="I10" s="34"/>
      <c r="J10" s="34">
        <f>$C$30*('E Balans VL '!D14+'E Balans VL '!E14)/100/3.6*1000000</f>
        <v>0</v>
      </c>
      <c r="K10" s="34"/>
      <c r="L10" s="34"/>
      <c r="M10" s="34"/>
      <c r="N10" s="34">
        <f>$C$30*'E Balans VL '!Y14/100/3.6*1000000</f>
        <v>485.79665857580648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4201.46789380062</v>
      </c>
      <c r="C12" s="34"/>
      <c r="D12" s="38">
        <f>IF(ISERROR(TER_rest_gas_kWh/1000),0,TER_rest_gas_kWh/1000)*0.902</f>
        <v>2272.7939166724891</v>
      </c>
      <c r="E12" s="34">
        <f>$C$32*'E Balans VL '!I8/100/3.6*1000000</f>
        <v>36.302114007596153</v>
      </c>
      <c r="F12" s="34">
        <f>$C$32*('E Balans VL '!L8+'E Balans VL '!N8)/100/3.6*1000000</f>
        <v>836.87932133856089</v>
      </c>
      <c r="G12" s="35"/>
      <c r="H12" s="34"/>
      <c r="I12" s="34"/>
      <c r="J12" s="34">
        <f>$C$32*('E Balans VL '!D8+'E Balans VL '!E8)/100/3.6*1000000</f>
        <v>0</v>
      </c>
      <c r="K12" s="34"/>
      <c r="L12" s="34"/>
      <c r="M12" s="34"/>
      <c r="N12" s="34">
        <f>$C$32*'E Balans VL '!Y8/100/3.6*1000000</f>
        <v>276.34271028058373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8672.2777252096166</v>
      </c>
      <c r="C16" s="22">
        <f t="shared" ca="1" si="1"/>
        <v>0</v>
      </c>
      <c r="D16" s="22">
        <f t="shared" ca="1" si="1"/>
        <v>7339.7090237245484</v>
      </c>
      <c r="E16" s="22">
        <f t="shared" si="1"/>
        <v>103.01702838796879</v>
      </c>
      <c r="F16" s="22">
        <f t="shared" ca="1" si="1"/>
        <v>1749.4293224425337</v>
      </c>
      <c r="G16" s="22">
        <f t="shared" si="1"/>
        <v>0</v>
      </c>
      <c r="H16" s="22">
        <f t="shared" si="1"/>
        <v>0</v>
      </c>
      <c r="I16" s="22">
        <f t="shared" si="1"/>
        <v>0</v>
      </c>
      <c r="J16" s="22">
        <f t="shared" si="1"/>
        <v>0</v>
      </c>
      <c r="K16" s="22">
        <f t="shared" si="1"/>
        <v>0</v>
      </c>
      <c r="L16" s="22">
        <f t="shared" ca="1" si="1"/>
        <v>0</v>
      </c>
      <c r="M16" s="22">
        <f t="shared" si="1"/>
        <v>0</v>
      </c>
      <c r="N16" s="22">
        <f t="shared" ca="1" si="1"/>
        <v>769.52207661975206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0.2051668211797904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1779.263653269561</v>
      </c>
      <c r="C20" s="24">
        <f t="shared" ref="C20:P20" ca="1" si="2">C16*C18</f>
        <v>0</v>
      </c>
      <c r="D20" s="24">
        <f t="shared" ca="1" si="2"/>
        <v>1482.6212227923588</v>
      </c>
      <c r="E20" s="24">
        <f t="shared" si="2"/>
        <v>23.384865444068918</v>
      </c>
      <c r="F20" s="24">
        <f t="shared" ca="1" si="2"/>
        <v>467.09762909215652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1316.6997756934002</v>
      </c>
      <c r="C26" s="40">
        <f>IF(ISERROR(B26*3.6/1000000/'E Balans VL '!Z12*100),0,B26*3.6/1000000/'E Balans VL '!Z12*100)</f>
        <v>2.7978925987200372E-2</v>
      </c>
      <c r="D26" s="236" t="s">
        <v>691</v>
      </c>
      <c r="F26" s="6"/>
    </row>
    <row r="27" spans="1:18">
      <c r="A27" s="231" t="s">
        <v>52</v>
      </c>
      <c r="B27" s="34">
        <f>IF(ISERROR(TER_horeca_ele_kWh/1000),0,TER_horeca_ele_kWh/1000)</f>
        <v>982.62923704271498</v>
      </c>
      <c r="C27" s="40">
        <f>IF(ISERROR(B27*3.6/1000000/'E Balans VL '!Z9*100),0,B27*3.6/1000000/'E Balans VL '!Z9*100)</f>
        <v>7.734051959419902E-2</v>
      </c>
      <c r="D27" s="236" t="s">
        <v>691</v>
      </c>
      <c r="F27" s="6"/>
    </row>
    <row r="28" spans="1:18">
      <c r="A28" s="171" t="s">
        <v>51</v>
      </c>
      <c r="B28" s="34">
        <f>IF(ISERROR(TER_handel_ele_kWh/1000),0,TER_handel_ele_kWh/1000)</f>
        <v>1218.84765871732</v>
      </c>
      <c r="C28" s="40">
        <f>IF(ISERROR(B28*3.6/1000000/'E Balans VL '!Z13*100),0,B28*3.6/1000000/'E Balans VL '!Z13*100)</f>
        <v>3.4140575222186401E-2</v>
      </c>
      <c r="D28" s="236" t="s">
        <v>691</v>
      </c>
      <c r="F28" s="6"/>
    </row>
    <row r="29" spans="1:18">
      <c r="A29" s="231" t="s">
        <v>50</v>
      </c>
      <c r="B29" s="34">
        <f>IF(ISERROR(TER_gezond_ele_kWh/1000),0,TER_gezond_ele_kWh/1000)</f>
        <v>110.506374953262</v>
      </c>
      <c r="C29" s="40">
        <f>IF(ISERROR(B29*3.6/1000000/'E Balans VL '!Z10*100),0,B29*3.6/1000000/'E Balans VL '!Z10*100)</f>
        <v>1.4137106934720766E-2</v>
      </c>
      <c r="D29" s="236" t="s">
        <v>691</v>
      </c>
      <c r="F29" s="6"/>
    </row>
    <row r="30" spans="1:18">
      <c r="A30" s="231" t="s">
        <v>49</v>
      </c>
      <c r="B30" s="34">
        <f>IF(ISERROR(TER_ander_ele_kWh/1000),0,TER_ander_ele_kWh/1000)</f>
        <v>842.12678500229902</v>
      </c>
      <c r="C30" s="40">
        <f>IF(ISERROR(B30*3.6/1000000/'E Balans VL '!Z14*100),0,B30*3.6/1000000/'E Balans VL '!Z14*100)</f>
        <v>6.2983987633924238E-2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4201.46789380062</v>
      </c>
      <c r="C32" s="40">
        <f>IF(ISERROR(B32*3.6/1000000/'E Balans VL '!Z8*100),0,B32*3.6/1000000/'E Balans VL '!Z8*100)</f>
        <v>3.4611407084255384E-2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5563.8498865354122</v>
      </c>
      <c r="C5" s="18">
        <f>IF(ISERROR('Eigen informatie GS &amp; warmtenet'!B59),0,'Eigen informatie GS &amp; warmtenet'!B59)</f>
        <v>0</v>
      </c>
      <c r="D5" s="31">
        <f>SUM(D6:D15)</f>
        <v>24588.195742854994</v>
      </c>
      <c r="E5" s="18">
        <f>SUM(E6:E15)</f>
        <v>44.908580707052437</v>
      </c>
      <c r="F5" s="18">
        <f>SUM(F6:F15)</f>
        <v>2114.0607090867807</v>
      </c>
      <c r="G5" s="19"/>
      <c r="H5" s="18"/>
      <c r="I5" s="18"/>
      <c r="J5" s="18">
        <f>SUM(J6:J15)</f>
        <v>14.150817247792178</v>
      </c>
      <c r="K5" s="18"/>
      <c r="L5" s="18"/>
      <c r="M5" s="18"/>
      <c r="N5" s="18">
        <f>SUM(N6:N15)</f>
        <v>238.53244280677666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1837.2249143505499</v>
      </c>
      <c r="C9" s="34"/>
      <c r="D9" s="38">
        <f>IF( ISERROR(IND_andere_gas_kWh/1000),0,IND_andere_gas_kWh/1000)*0.902</f>
        <v>529.36600489787895</v>
      </c>
      <c r="E9" s="34">
        <f>C31*'E Balans VL '!I19/100/3.6*1000000</f>
        <v>10.619434555500733</v>
      </c>
      <c r="F9" s="34">
        <f>C31*'E Balans VL '!L19/100/3.6*1000000+C31*'E Balans VL '!N19/100/3.6*1000000</f>
        <v>1461.6008231304756</v>
      </c>
      <c r="G9" s="35"/>
      <c r="H9" s="34"/>
      <c r="I9" s="34"/>
      <c r="J9" s="41">
        <f>C31*'E Balans VL '!D19/100/3.6*1000000+C31*'E Balans VL '!E19/100/3.6*1000000</f>
        <v>0.17378106958122611</v>
      </c>
      <c r="K9" s="34"/>
      <c r="L9" s="34"/>
      <c r="M9" s="34"/>
      <c r="N9" s="34">
        <f>C31*'E Balans VL '!Y19/100/3.6*1000000</f>
        <v>139.19759055117129</v>
      </c>
      <c r="O9" s="34"/>
      <c r="P9" s="34"/>
      <c r="R9" s="33"/>
    </row>
    <row r="10" spans="1:18">
      <c r="A10" s="6" t="s">
        <v>40</v>
      </c>
      <c r="B10" s="38">
        <f t="shared" si="0"/>
        <v>947.95369824703198</v>
      </c>
      <c r="C10" s="34"/>
      <c r="D10" s="38">
        <f>IF( ISERROR(IND_voed_gas_kWh/1000),0,IND_voed_gas_kWh/1000)*0.902</f>
        <v>0</v>
      </c>
      <c r="E10" s="34">
        <f>C32*'E Balans VL '!I20/100/3.6*1000000</f>
        <v>9.3208648440822763</v>
      </c>
      <c r="F10" s="34">
        <f>C32*'E Balans VL '!L20/100/3.6*1000000+C32*'E Balans VL '!N20/100/3.6*1000000</f>
        <v>105.28263149285581</v>
      </c>
      <c r="G10" s="35"/>
      <c r="H10" s="34"/>
      <c r="I10" s="34"/>
      <c r="J10" s="41">
        <f>C32*'E Balans VL '!D20/100/3.6*1000000+C32*'E Balans VL '!E20/100/3.6*1000000</f>
        <v>3.7363158698757019E-3</v>
      </c>
      <c r="K10" s="34"/>
      <c r="L10" s="34"/>
      <c r="M10" s="34"/>
      <c r="N10" s="34">
        <f>C32*'E Balans VL '!Y20/100/3.6*1000000</f>
        <v>14.036964448899786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2778.6712739378299</v>
      </c>
      <c r="C15" s="34"/>
      <c r="D15" s="38">
        <f>IF( ISERROR(IND_rest_gas_kWh/1000),0,IND_rest_gas_kWh/1000)*0.902</f>
        <v>24058.829737957116</v>
      </c>
      <c r="E15" s="34">
        <f>C37*'E Balans VL '!I15/100/3.6*1000000</f>
        <v>24.968281307469429</v>
      </c>
      <c r="F15" s="34">
        <f>C37*'E Balans VL '!L15/100/3.6*1000000+C37*'E Balans VL '!N15/100/3.6*1000000</f>
        <v>547.17725446344912</v>
      </c>
      <c r="G15" s="35"/>
      <c r="H15" s="34"/>
      <c r="I15" s="34"/>
      <c r="J15" s="41">
        <f>C37*'E Balans VL '!D15/100/3.6*1000000+C37*'E Balans VL '!E15/100/3.6*1000000</f>
        <v>13.973299862341076</v>
      </c>
      <c r="K15" s="34"/>
      <c r="L15" s="34"/>
      <c r="M15" s="34"/>
      <c r="N15" s="34">
        <f>C37*'E Balans VL '!Y15/100/3.6*1000000</f>
        <v>85.297887806705589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5563.8498865354122</v>
      </c>
      <c r="C18" s="22">
        <f>C5+C16</f>
        <v>0</v>
      </c>
      <c r="D18" s="22">
        <f>MAX((D5+D16),0)</f>
        <v>24588.195742854994</v>
      </c>
      <c r="E18" s="22">
        <f>MAX((E5+E16),0)</f>
        <v>44.908580707052437</v>
      </c>
      <c r="F18" s="22">
        <f>MAX((F5+F16),0)</f>
        <v>2114.0607090867807</v>
      </c>
      <c r="G18" s="22"/>
      <c r="H18" s="22"/>
      <c r="I18" s="22"/>
      <c r="J18" s="22">
        <f>MAX((J5+J16),0)</f>
        <v>14.150817247792178</v>
      </c>
      <c r="K18" s="22"/>
      <c r="L18" s="22">
        <f>MAX((L5+L16),0)</f>
        <v>0</v>
      </c>
      <c r="M18" s="22"/>
      <c r="N18" s="22">
        <f>MAX((N5+N16),0)</f>
        <v>238.53244280677666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0.2051668211797904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1141.517394742008</v>
      </c>
      <c r="C22" s="24">
        <f ca="1">C18*C20</f>
        <v>0</v>
      </c>
      <c r="D22" s="24">
        <f>D18*D20</f>
        <v>4966.8155400567093</v>
      </c>
      <c r="E22" s="24">
        <f>E18*E20</f>
        <v>10.194247820500904</v>
      </c>
      <c r="F22" s="24">
        <f>F18*F20</f>
        <v>564.45420932617048</v>
      </c>
      <c r="G22" s="24"/>
      <c r="H22" s="24"/>
      <c r="I22" s="24"/>
      <c r="J22" s="24">
        <f>J18*J20</f>
        <v>5.0093893057184307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1837.2249143505499</v>
      </c>
      <c r="C31" s="40">
        <f>IF(ISERROR(B31*3.6/1000000/'E Balans VL '!Z19*100),0,B31*3.6/1000000/'E Balans VL '!Z19*100)</f>
        <v>8.5407761159373943E-2</v>
      </c>
      <c r="D31" s="236" t="s">
        <v>691</v>
      </c>
    </row>
    <row r="32" spans="1:18">
      <c r="A32" s="171" t="s">
        <v>40</v>
      </c>
      <c r="B32" s="38">
        <f>IF( ISERROR(IND_voed_ele_kWh/1000),0,IND_voed_ele_kWh/1000)</f>
        <v>947.95369824703198</v>
      </c>
      <c r="C32" s="40">
        <f>IF(ISERROR(B32*3.6/1000000/'E Balans VL '!Z20*100),0,B32*3.6/1000000/'E Balans VL '!Z20*100)</f>
        <v>3.350824875946018E-2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2778.6712739378299</v>
      </c>
      <c r="C37" s="40">
        <f>IF(ISERROR(B37*3.6/1000000/'E Balans VL '!Z15*100),0,B37*3.6/1000000/'E Balans VL '!Z15*100)</f>
        <v>2.0983072836397047E-2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725.98670780465523</v>
      </c>
      <c r="C5" s="18">
        <f>'Eigen informatie GS &amp; warmtenet'!B60</f>
        <v>0</v>
      </c>
      <c r="D5" s="31">
        <f>IF(ISERROR(SUM(LB_lb_gas_kWh,LB_rest_gas_kWh)/1000),0,SUM(LB_lb_gas_kWh,LB_rest_gas_kWh)/1000)*0.902</f>
        <v>3.5584835205132976</v>
      </c>
      <c r="E5" s="18">
        <f>B17*'E Balans VL '!I25/3.6*1000000/100</f>
        <v>6.8392812145703941</v>
      </c>
      <c r="F5" s="18">
        <f>B17*('E Balans VL '!L25/3.6*1000000+'E Balans VL '!N25/3.6*1000000)/100</f>
        <v>2369.1355613953151</v>
      </c>
      <c r="G5" s="19"/>
      <c r="H5" s="18"/>
      <c r="I5" s="18"/>
      <c r="J5" s="18">
        <f>('E Balans VL '!D25+'E Balans VL '!E25)/3.6*1000000*landbouw!B17/100</f>
        <v>89.808086954104297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725.98670780465523</v>
      </c>
      <c r="C8" s="22">
        <f>C5+C6</f>
        <v>0</v>
      </c>
      <c r="D8" s="22">
        <f>MAX((D5+D6),0)</f>
        <v>3.5584835205132976</v>
      </c>
      <c r="E8" s="22">
        <f>MAX((E5+E6),0)</f>
        <v>6.8392812145703941</v>
      </c>
      <c r="F8" s="22">
        <f>MAX((F5+F6),0)</f>
        <v>2369.1355613953151</v>
      </c>
      <c r="G8" s="22"/>
      <c r="H8" s="22"/>
      <c r="I8" s="22"/>
      <c r="J8" s="22">
        <f>MAX((J5+J6),0)</f>
        <v>89.808086954104297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0.2051668211797904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148.94838505906245</v>
      </c>
      <c r="C12" s="24">
        <f ca="1">C8*C10</f>
        <v>0</v>
      </c>
      <c r="D12" s="24">
        <f>D8*D10</f>
        <v>0.71881367114368622</v>
      </c>
      <c r="E12" s="24">
        <f>E8*E10</f>
        <v>1.5525168357074794</v>
      </c>
      <c r="F12" s="24">
        <f>F8*F10</f>
        <v>632.55919489254916</v>
      </c>
      <c r="G12" s="24"/>
      <c r="H12" s="24"/>
      <c r="I12" s="24"/>
      <c r="J12" s="24">
        <f>J8*J10</f>
        <v>31.792062781752918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9.8286999340005093E-2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48.656595668206222</v>
      </c>
      <c r="C26" s="246">
        <f>B26*'GWP N2O_CH4'!B5</f>
        <v>1021.7885090323307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11.476523329977489</v>
      </c>
      <c r="C27" s="246">
        <f>B27*'GWP N2O_CH4'!B5</f>
        <v>241.00698992952726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1.2012641461492723</v>
      </c>
      <c r="C28" s="246">
        <f>B28*'GWP N2O_CH4'!B4</f>
        <v>372.39188530627445</v>
      </c>
      <c r="D28" s="51"/>
    </row>
    <row r="29" spans="1:4">
      <c r="A29" s="42" t="s">
        <v>272</v>
      </c>
      <c r="B29" s="246">
        <f>B34*'ha_N2O bodem landbouw'!B4</f>
        <v>2.4212451709676652</v>
      </c>
      <c r="C29" s="246">
        <f>B29*'GWP N2O_CH4'!B4</f>
        <v>750.58600299997624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6.5365997471720648E-4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4.5127472034780538E-6</v>
      </c>
      <c r="C5" s="435" t="s">
        <v>210</v>
      </c>
      <c r="D5" s="420">
        <f>SUM(D6:D11)</f>
        <v>5.7381930150774638E-6</v>
      </c>
      <c r="E5" s="420">
        <f>SUM(E6:E11)</f>
        <v>3.6731396842919244E-4</v>
      </c>
      <c r="F5" s="433" t="s">
        <v>210</v>
      </c>
      <c r="G5" s="420">
        <f>SUM(G6:G11)</f>
        <v>6.8614665763077565E-2</v>
      </c>
      <c r="H5" s="420">
        <f>SUM(H6:H11)</f>
        <v>1.3832045153682349E-2</v>
      </c>
      <c r="I5" s="435" t="s">
        <v>210</v>
      </c>
      <c r="J5" s="435" t="s">
        <v>210</v>
      </c>
      <c r="K5" s="435" t="s">
        <v>210</v>
      </c>
      <c r="L5" s="435" t="s">
        <v>210</v>
      </c>
      <c r="M5" s="420">
        <f>SUM(M6:M11)</f>
        <v>3.6866394958084366E-3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3.6760732979989194E-6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4.2814544614721517E-6</v>
      </c>
      <c r="E6" s="423">
        <f>vkm_GW_PW*SUMIFS(TableVerdeelsleutelVkm[LPG],TableVerdeelsleutelVkm[Voertuigtype],"Lichte voertuigen")*SUMIFS(TableECFTransport[EnergieConsumptieFactor (PJ per km)],TableECFTransport[Index],CONCATENATE($A6,"_LPG_LPG"))</f>
        <v>2.777697633796655E-4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4.333730542771709E-2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1.0444283751401407E-2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2.4067296182732618E-3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6.2152269464814593E-8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1.0281356998540037E-2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2.7588544523308638E-7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4.5748684675690624E-4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7.6582901210415523E-7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1.4567385536053121E-6</v>
      </c>
      <c r="E8" s="423">
        <f>vkm_NGW_PW*SUMIFS(TableVerdeelsleutelVkm[LPG],TableVerdeelsleutelVkm[Voertuigtype],"Lichte voertuigen")*SUMIFS(TableECFTransport[EnergieConsumptieFactor (PJ per km)],TableECFTransport[Index],CONCATENATE($A8,"_LPG_LPG"))</f>
        <v>8.9544205049526941E-5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1.3152052393209936E-2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3.3874389433080636E-3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7.4037336221930436E-4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8.6926239101647359E-9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1.8439509436105025E-3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4.6573527645007148E-8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8.2049668558964239E-5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1.2535408898550149</v>
      </c>
      <c r="C14" s="22"/>
      <c r="D14" s="22">
        <f t="shared" ref="D14:M14" si="0">((D5)*10^9/3600)+D12</f>
        <v>1.5939425041881845</v>
      </c>
      <c r="E14" s="22">
        <f t="shared" si="0"/>
        <v>102.0316578969979</v>
      </c>
      <c r="F14" s="22"/>
      <c r="G14" s="22">
        <f t="shared" si="0"/>
        <v>19059.629378632661</v>
      </c>
      <c r="H14" s="22">
        <f t="shared" si="0"/>
        <v>3842.2347649117637</v>
      </c>
      <c r="I14" s="22"/>
      <c r="J14" s="22"/>
      <c r="K14" s="22"/>
      <c r="L14" s="22"/>
      <c r="M14" s="22">
        <f t="shared" si="0"/>
        <v>1024.0665266134547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0.2051668211797904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0.25718499959043917</v>
      </c>
      <c r="C18" s="24"/>
      <c r="D18" s="24">
        <f t="shared" ref="D18:M18" si="1">D14*D16</f>
        <v>0.32197638584601329</v>
      </c>
      <c r="E18" s="24">
        <f t="shared" si="1"/>
        <v>23.161186342618524</v>
      </c>
      <c r="F18" s="24"/>
      <c r="G18" s="24">
        <f t="shared" si="1"/>
        <v>5088.9210440949209</v>
      </c>
      <c r="H18" s="24">
        <f t="shared" si="1"/>
        <v>956.7164564630292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7.5244039579131339E-6</v>
      </c>
      <c r="C50" s="316">
        <f t="shared" ref="C50:P50" si="2">SUM(C51:C52)</f>
        <v>0</v>
      </c>
      <c r="D50" s="316">
        <f t="shared" si="2"/>
        <v>0</v>
      </c>
      <c r="E50" s="316">
        <f t="shared" si="2"/>
        <v>0</v>
      </c>
      <c r="F50" s="316">
        <f t="shared" si="2"/>
        <v>0</v>
      </c>
      <c r="G50" s="316">
        <f t="shared" si="2"/>
        <v>1.5007572042598819E-3</v>
      </c>
      <c r="H50" s="316">
        <f t="shared" si="2"/>
        <v>0</v>
      </c>
      <c r="I50" s="316">
        <f t="shared" si="2"/>
        <v>0</v>
      </c>
      <c r="J50" s="316">
        <f t="shared" si="2"/>
        <v>0</v>
      </c>
      <c r="K50" s="316">
        <f t="shared" si="2"/>
        <v>0</v>
      </c>
      <c r="L50" s="316">
        <f t="shared" si="2"/>
        <v>0</v>
      </c>
      <c r="M50" s="316">
        <f t="shared" si="2"/>
        <v>6.6331870032140515E-5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7.5244039579131339E-6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1.5007572042598819E-3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6.6331870032140515E-5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2.090112210531426</v>
      </c>
      <c r="C54" s="22">
        <f t="shared" ref="C54:P54" si="3">(C50)*10^9/3600</f>
        <v>0</v>
      </c>
      <c r="D54" s="22">
        <f t="shared" si="3"/>
        <v>0</v>
      </c>
      <c r="E54" s="22">
        <f t="shared" si="3"/>
        <v>0</v>
      </c>
      <c r="F54" s="22">
        <f t="shared" si="3"/>
        <v>0</v>
      </c>
      <c r="G54" s="22">
        <f t="shared" si="3"/>
        <v>416.87700118330054</v>
      </c>
      <c r="H54" s="22">
        <f t="shared" si="3"/>
        <v>0</v>
      </c>
      <c r="I54" s="22">
        <f t="shared" si="3"/>
        <v>0</v>
      </c>
      <c r="J54" s="22">
        <f t="shared" si="3"/>
        <v>0</v>
      </c>
      <c r="K54" s="22">
        <f t="shared" si="3"/>
        <v>0</v>
      </c>
      <c r="L54" s="22">
        <f t="shared" si="3"/>
        <v>0</v>
      </c>
      <c r="M54" s="22">
        <f t="shared" si="3"/>
        <v>18.425519453372367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0.2051668211797904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0.42882167814379751</v>
      </c>
      <c r="C58" s="24">
        <f t="shared" ref="C58:P58" ca="1" si="4">C54*C56</f>
        <v>0</v>
      </c>
      <c r="D58" s="24">
        <f t="shared" si="4"/>
        <v>0</v>
      </c>
      <c r="E58" s="24">
        <f t="shared" si="4"/>
        <v>0</v>
      </c>
      <c r="F58" s="24">
        <f t="shared" si="4"/>
        <v>0</v>
      </c>
      <c r="G58" s="24">
        <f t="shared" si="4"/>
        <v>111.30615931594124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2614.7894922428591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2614.7894922428591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2021-06-29T16:38:45Z</dcterms:modified>
</cp:coreProperties>
</file>