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48" i="18"/>
  <c r="V48" i="18"/>
  <c r="U48" i="18"/>
  <c r="T48" i="18"/>
  <c r="S48" i="18"/>
  <c r="R48" i="18"/>
  <c r="Q48" i="18"/>
  <c r="P48" i="18"/>
  <c r="O48" i="18"/>
  <c r="N48" i="18"/>
  <c r="M48" i="18"/>
  <c r="W47" i="18"/>
  <c r="V47" i="18"/>
  <c r="U47" i="18"/>
  <c r="T47" i="18"/>
  <c r="S47" i="18"/>
  <c r="R47" i="18"/>
  <c r="Q47" i="18"/>
  <c r="P47" i="18"/>
  <c r="O47" i="18"/>
  <c r="N47" i="18"/>
  <c r="M47" i="18"/>
  <c r="W46" i="18"/>
  <c r="V46" i="18"/>
  <c r="U46" i="18"/>
  <c r="T46" i="18"/>
  <c r="S46" i="18"/>
  <c r="R46" i="18"/>
  <c r="Q46" i="18"/>
  <c r="P46" i="18"/>
  <c r="O46" i="18"/>
  <c r="N46" i="18"/>
  <c r="M46" i="18"/>
  <c r="W45" i="18"/>
  <c r="H9" i="18" s="1"/>
  <c r="V45" i="18"/>
  <c r="U45" i="18"/>
  <c r="T45" i="18"/>
  <c r="I9" i="18" s="1"/>
  <c r="S45" i="18"/>
  <c r="R45" i="18"/>
  <c r="Q45" i="18"/>
  <c r="P45" i="18"/>
  <c r="C9" i="18" s="1"/>
  <c r="O45" i="18"/>
  <c r="N45" i="18"/>
  <c r="B9" i="18" s="1"/>
  <c r="M45"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G22" i="18"/>
  <c r="F22" i="18"/>
  <c r="E22" i="18"/>
  <c r="D22" i="18"/>
  <c r="C22" i="18"/>
  <c r="L20" i="18"/>
  <c r="D20" i="18"/>
  <c r="G12" i="18"/>
  <c r="F12" i="18"/>
  <c r="E12" i="18"/>
  <c r="D12" i="18"/>
  <c r="C12" i="18"/>
  <c r="L10" i="18"/>
  <c r="K10" i="18"/>
  <c r="G10" i="18"/>
  <c r="D10" i="18"/>
  <c r="B8" i="18"/>
  <c r="B6" i="18"/>
  <c r="B5" i="18"/>
  <c r="B4" i="18"/>
  <c r="B54" i="18" l="1"/>
  <c r="J9" i="18"/>
  <c r="O9" i="18" s="1"/>
  <c r="F20" i="18"/>
  <c r="B17" i="18"/>
  <c r="B20" i="18" s="1"/>
  <c r="C54" i="18"/>
  <c r="B57" i="18" s="1"/>
  <c r="C8" i="18" s="1"/>
  <c r="G20" i="18"/>
  <c r="K20" i="18"/>
  <c r="B10" i="18"/>
  <c r="O19" i="18"/>
  <c r="O18" i="18"/>
  <c r="I58" i="18"/>
  <c r="H17" i="18" s="1"/>
  <c r="H20" i="18" s="1"/>
  <c r="E58" i="18"/>
  <c r="E17" i="18" s="1"/>
  <c r="E20" i="18" s="1"/>
  <c r="G58" i="18"/>
  <c r="C58" i="18"/>
  <c r="H58" i="18"/>
  <c r="D58" i="18"/>
  <c r="F58" i="18"/>
  <c r="B58" i="18"/>
  <c r="C17" i="18" s="1"/>
  <c r="I57" i="18"/>
  <c r="H8" i="18" s="1"/>
  <c r="H10" i="18" s="1"/>
  <c r="E57" i="18"/>
  <c r="E8" i="18" s="1"/>
  <c r="E10" i="18" s="1"/>
  <c r="C57" i="18"/>
  <c r="H57" i="18"/>
  <c r="N6" i="17"/>
  <c r="L6" i="17"/>
  <c r="F6" i="17"/>
  <c r="D6" i="17"/>
  <c r="C6" i="17"/>
  <c r="N16" i="16"/>
  <c r="L16" i="16"/>
  <c r="F16" i="16"/>
  <c r="D16" i="16"/>
  <c r="C16" i="16"/>
  <c r="B16" i="16"/>
  <c r="B13" i="15"/>
  <c r="F57" i="18" l="1"/>
  <c r="D57" i="18"/>
  <c r="G57"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<sst xmlns="http://schemas.openxmlformats.org/spreadsheetml/2006/main" count="2664" uniqueCount="1007">
  <si>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</si>
  <si>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</si>
  <si>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</si>
  <si>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</si>
  <si>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</si>
  <si>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</si>
  <si>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</si>
  <si>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</si>
  <si>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</si>
  <si>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</si>
  <si>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</si>
  <si>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</si>
  <si>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</si>
  <si>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</si>
  <si>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</si>
  <si>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</si>
  <si>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</si>
  <si>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</si>
  <si>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</si>
  <si>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</si>
  <si>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</si>
  <si>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</si>
  <si>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</si>
  <si>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</si>
  <si>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</si>
  <si>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</si>
  <si>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</si>
  <si>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</si>
  <si>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</si>
  <si>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</si>
  <si>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</si>
  <si>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</si>
  <si>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</si>
  <si>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</si>
  <si>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</si>
  <si>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</si>
  <si>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</si>
  <si>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</si>
  <si>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</si>
  <si>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</si>
  <si>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</si>
  <si>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</si>
  <si>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</si>
  <si>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</si>
  <si>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</si>
  <si>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</si>
  <si>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</si>
  <si>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</si>
  <si>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</si>
  <si>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</si>
  <si>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</si>
  <si>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</si>
  <si>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</si>
  <si>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</si>
  <si>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</si>
  <si>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</si>
  <si>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</si>
  <si>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</si>
  <si>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</si>
  <si>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</si>
  <si>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</si>
  <si>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</si>
  <si>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</si>
  <si>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</si>
  <si>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</si>
  <si>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</si>
  <si>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</si>
  <si>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</si>
  <si>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</si>
  <si>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</si>
  <si>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</si>
  <si>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</si>
  <si>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</si>
  <si>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</si>
  <si>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</si>
  <si>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</si>
  <si>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</si>
  <si>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</si>
  <si>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</si>
  <si>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</si>
  <si>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</si>
  <si>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</si>
  <si>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</si>
  <si>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</si>
  <si>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</si>
  <si>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</si>
  <si>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</si>
  <si>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</si>
  <si>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</si>
  <si>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</si>
  <si>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</si>
  <si>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</si>
  <si>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</si>
  <si>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</si>
  <si>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</si>
  <si>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</si>
  <si>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</si>
  <si>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</si>
  <si>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</si>
  <si>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</si>
  <si>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</si>
  <si>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</si>
  <si>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</si>
  <si>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</si>
  <si>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</si>
  <si>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</si>
  <si>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</si>
  <si>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</si>
  <si>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</si>
  <si>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</si>
  <si>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</si>
  <si>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</si>
  <si>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</si>
  <si>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</si>
  <si>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</si>
  <si>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</si>
  <si>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</si>
  <si>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</si>
  <si>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</si>
  <si>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</si>
  <si>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</si>
  <si>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</si>
  <si>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</si>
  <si>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</si>
  <si>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</si>
  <si>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</si>
  <si>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</si>
  <si>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</si>
  <si>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</si>
  <si>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</si>
  <si>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</si>
  <si>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</si>
  <si>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</si>
  <si>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</si>
  <si>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</si>
  <si>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</si>
  <si>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</si>
  <si>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</si>
  <si>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</si>
  <si>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</si>
  <si>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</si>
  <si>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</si>
  <si>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</si>
  <si>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</si>
  <si>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</si>
  <si>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</si>
  <si>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</si>
  <si>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</si>
  <si>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</si>
  <si>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</si>
  <si>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</si>
  <si>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</si>
  <si>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</si>
  <si>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</si>
  <si>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</si>
  <si>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</si>
  <si>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</si>
  <si>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</si>
  <si>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</si>
  <si>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</si>
  <si>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</si>
  <si>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</si>
  <si>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</si>
  <si>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</si>
  <si>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</si>
  <si>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</si>
  <si>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</si>
  <si>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</si>
  <si>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</si>
  <si>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</si>
  <si>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</si>
  <si>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</si>
  <si>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</si>
  <si>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</si>
  <si>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</si>
  <si>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</si>
  <si>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</si>
  <si>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</si>
  <si>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</si>
  <si>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</si>
  <si>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</si>
  <si>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</si>
  <si>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</si>
  <si>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</si>
  <si>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</si>
  <si>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</si>
  <si>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</si>
  <si>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</si>
  <si>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</si>
  <si>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</si>
  <si>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</si>
  <si>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</si>
  <si>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</si>
  <si>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</si>
  <si>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</si>
  <si>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</si>
  <si>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</si>
  <si>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</si>
  <si>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</si>
  <si>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</si>
  <si>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</si>
  <si>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</si>
  <si>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</si>
  <si>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</si>
  <si>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</si>
  <si>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</si>
  <si>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</si>
  <si>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</si>
  <si>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</si>
  <si>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</si>
  <si>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</si>
  <si>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</si>
  <si>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</si>
  <si>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</si>
  <si>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</si>
  <si>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</si>
  <si>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</si>
  <si>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</si>
  <si>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</si>
  <si>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</si>
  <si>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</si>
  <si>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</si>
  <si>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</si>
  <si>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</si>
  <si>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</si>
  <si>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</si>
  <si>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</si>
  <si>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</si>
  <si>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</si>
  <si>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</si>
  <si>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</si>
  <si>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</si>
  <si>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</si>
  <si>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</si>
  <si>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</si>
  <si>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</si>
  <si>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</si>
  <si>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</si>
  <si>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</si>
  <si>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</si>
  <si>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</si>
  <si>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</si>
  <si>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</si>
  <si>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</si>
  <si>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</si>
  <si>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</si>
  <si>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</si>
  <si>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</si>
  <si>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</si>
  <si>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</si>
  <si>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</si>
  <si>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</si>
  <si>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</si>
  <si>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</si>
  <si>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</si>
  <si>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</si>
  <si>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</si>
  <si>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</si>
  <si>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</si>
  <si>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</si>
  <si>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</si>
  <si>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</si>
  <si>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</si>
  <si>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</si>
  <si>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</si>
  <si>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</si>
  <si>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</si>
  <si>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</si>
  <si>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</si>
  <si>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</si>
  <si>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</si>
  <si>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</si>
  <si>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</si>
  <si>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</si>
  <si>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</si>
  <si>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</si>
  <si>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</si>
  <si>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</si>
  <si>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</si>
  <si>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</si>
  <si>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</si>
  <si>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</si>
  <si>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</si>
  <si>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</si>
  <si>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</si>
  <si>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</si>
  <si>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</si>
  <si>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</si>
  <si>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</si>
  <si>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</si>
  <si>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</si>
  <si>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</si>
  <si>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</si>
  <si>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</si>
  <si>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</si>
  <si>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</si>
  <si>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</si>
  <si>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</si>
  <si>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</si>
  <si>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</si>
  <si>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</si>
  <si>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</si>
  <si>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</si>
  <si>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</si>
  <si>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</si>
  <si>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</si>
  <si>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</si>
  <si>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</si>
  <si>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</si>
  <si>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</si>
  <si>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</si>
  <si>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</si>
  <si>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</si>
  <si>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</si>
  <si>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</si>
  <si>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</si>
  <si>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</si>
  <si>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</si>
  <si>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</si>
  <si>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</si>
  <si>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</si>
  <si>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</si>
  <si>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</si>
  <si>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</si>
  <si>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</si>
  <si>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</si>
  <si>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</si>
  <si>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</si>
  <si>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</si>
  <si>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</si>
  <si>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</si>
  <si>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</si>
  <si>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</si>
  <si>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</si>
  <si>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</si>
  <si>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</si>
  <si>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</si>
  <si>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</si>
  <si>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</si>
  <si>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</si>
  <si>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</si>
  <si>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</si>
  <si>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</si>
  <si>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</si>
  <si>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</si>
  <si>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</si>
  <si>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</si>
  <si>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</si>
  <si>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</si>
  <si>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</si>
  <si>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</si>
  <si>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</si>
  <si>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</si>
  <si>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</si>
  <si>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</si>
  <si>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</si>
  <si>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</si>
  <si>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</si>
  <si>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</si>
  <si>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</si>
  <si>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</si>
  <si>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</si>
  <si>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</si>
  <si>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</si>
  <si>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</si>
  <si>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</si>
  <si>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</si>
  <si>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</si>
  <si>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</si>
  <si>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</si>
  <si>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</si>
  <si>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</si>
  <si>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</si>
  <si>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</si>
  <si>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</si>
  <si>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</si>
  <si>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</si>
  <si>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</si>
  <si>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</si>
  <si>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</si>
  <si>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</si>
  <si>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</si>
  <si>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</si>
  <si>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</si>
  <si>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</si>
  <si>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</si>
  <si>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</si>
  <si>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</si>
  <si>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</si>
  <si>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</si>
  <si>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</si>
  <si>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</si>
  <si>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</si>
  <si>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</si>
  <si>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</si>
  <si>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</si>
  <si>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</si>
  <si>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</si>
  <si>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</si>
  <si>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</si>
  <si>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</si>
  <si>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</si>
  <si>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</si>
  <si>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</si>
  <si>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</si>
  <si>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</si>
  <si>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</si>
  <si>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</si>
  <si>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</si>
  <si>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</si>
  <si>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</si>
  <si>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</si>
  <si>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</si>
  <si>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</si>
  <si>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</si>
  <si>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</si>
  <si>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</si>
  <si>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</si>
  <si>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</si>
  <si>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</si>
  <si>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</si>
  <si>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</si>
  <si>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</si>
  <si>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</si>
  <si>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</si>
  <si>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</si>
  <si>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</si>
  <si>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</si>
  <si>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</si>
  <si>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</si>
  <si>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</si>
  <si>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</si>
  <si>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</si>
  <si>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</si>
  <si>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</si>
  <si>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</si>
  <si>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</si>
  <si>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</si>
  <si>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</si>
  <si>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</si>
  <si>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</si>
  <si>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</si>
  <si>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</si>
  <si>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</si>
  <si>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</si>
  <si>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</si>
  <si>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</si>
  <si>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</si>
  <si>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</si>
  <si>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</si>
  <si>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</si>
  <si>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</si>
  <si>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</si>
  <si>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</si>
  <si>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</si>
  <si>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</si>
  <si>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</si>
  <si>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</si>
  <si>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</si>
  <si>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</si>
  <si>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</si>
  <si>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</si>
  <si>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</si>
  <si>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</si>
  <si>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</si>
  <si>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</si>
  <si>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</si>
  <si>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</si>
  <si>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</si>
  <si>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</si>
  <si>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</si>
  <si>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</si>
  <si>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</si>
  <si>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</si>
  <si>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</si>
  <si>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</si>
  <si>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</si>
  <si>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</si>
  <si>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</si>
  <si>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</si>
  <si>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</si>
  <si>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</si>
  <si>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</si>
  <si>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</si>
  <si>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</si>
  <si>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</si>
  <si>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</si>
  <si>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</si>
  <si>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</si>
  <si>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</si>
  <si>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</si>
  <si>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</si>
  <si>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</si>
  <si>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</si>
  <si>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</si>
  <si>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</si>
  <si>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</si>
  <si>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</si>
  <si>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</si>
  <si>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</si>
  <si>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</si>
  <si>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</si>
  <si>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</si>
  <si>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</si>
  <si>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</si>
  <si>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</si>
  <si>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</si>
  <si>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</si>
  <si>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</si>
  <si>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</si>
  <si>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</si>
  <si>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</si>
  <si>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</si>
  <si>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</si>
  <si>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</si>
  <si>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</si>
  <si>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</si>
  <si>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</si>
  <si>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</si>
  <si>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</si>
  <si>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</si>
  <si>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</si>
  <si>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</si>
  <si>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</si>
  <si>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</si>
  <si>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</si>
  <si>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</si>
  <si>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</si>
  <si>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</si>
  <si>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</si>
  <si>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</si>
  <si>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</si>
  <si>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</si>
  <si>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</si>
  <si>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</si>
  <si>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</si>
  <si>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</si>
  <si>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</si>
  <si>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</si>
  <si>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</si>
  <si>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</si>
  <si>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</si>
  <si>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</si>
  <si>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</si>
  <si>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</si>
  <si>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</si>
  <si>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</si>
  <si>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</si>
  <si>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</si>
  <si>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</si>
  <si>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</si>
  <si>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</si>
  <si>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</si>
  <si>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</si>
  <si>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</si>
  <si>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</si>
  <si>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</si>
  <si>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</si>
  <si>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</si>
  <si>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</si>
  <si>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</si>
  <si>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</si>
  <si>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</si>
  <si>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</si>
  <si>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</si>
  <si>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</si>
  <si>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</si>
  <si>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</si>
  <si>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</si>
  <si>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</si>
  <si>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</si>
  <si>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</si>
  <si>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</si>
  <si>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</si>
  <si>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</si>
  <si>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</si>
  <si>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</si>
  <si>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</si>
  <si>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</si>
  <si>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</si>
  <si>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</si>
  <si>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</si>
  <si>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</si>
  <si>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</si>
  <si>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</si>
  <si>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</si>
  <si>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</si>
  <si>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</si>
  <si>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</si>
  <si>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</si>
  <si>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</si>
  <si>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</si>
  <si>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</si>
  <si>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</si>
  <si>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</si>
  <si>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</si>
  <si>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</si>
  <si>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</si>
  <si>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</si>
  <si>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</si>
  <si>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</si>
  <si>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</si>
  <si>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</si>
  <si>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</si>
  <si>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</si>
  <si>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</si>
  <si>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</si>
  <si>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</si>
  <si>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</si>
  <si>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</si>
  <si>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</si>
  <si>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</si>
  <si>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</si>
  <si>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</si>
  <si>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</si>
  <si>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</si>
  <si>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</si>
  <si>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</si>
  <si>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</si>
  <si>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</si>
  <si>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</si>
  <si>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</si>
  <si>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</si>
  <si>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</si>
  <si>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</si>
  <si>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</si>
  <si>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</si>
  <si>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</si>
  <si>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</si>
  <si>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</si>
  <si>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</si>
  <si>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</si>
  <si>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</si>
  <si>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</si>
  <si>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</si>
  <si>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</si>
  <si>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</si>
  <si>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</si>
  <si>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</si>
  <si>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</si>
  <si>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</si>
  <si>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</si>
  <si>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</si>
  <si>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</si>
  <si>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</si>
  <si>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</si>
  <si>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</si>
  <si>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</si>
  <si>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</si>
  <si>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</si>
  <si>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</si>
  <si>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</si>
  <si>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</si>
  <si>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</si>
  <si>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</si>
  <si>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</si>
  <si>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</si>
  <si>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</si>
  <si>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</si>
  <si>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</si>
  <si>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</si>
  <si>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</si>
  <si>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</si>
  <si>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</si>
  <si>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</si>
  <si>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</si>
  <si>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</si>
  <si>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</si>
  <si>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</si>
  <si>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</si>
  <si>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</si>
  <si>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</si>
  <si>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</si>
  <si>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</si>
  <si>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</si>
  <si>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</si>
  <si>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</si>
  <si>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</si>
  <si>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</si>
  <si>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</si>
  <si>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</si>
  <si>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</si>
  <si>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</si>
  <si>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</si>
  <si>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</si>
  <si>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</si>
  <si>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</si>
  <si>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</si>
  <si>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</si>
  <si>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</si>
  <si>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</si>
  <si>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</si>
  <si>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</si>
  <si>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</si>
  <si>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</si>
  <si>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</si>
  <si>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</si>
  <si>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</si>
  <si>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</si>
  <si>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</si>
  <si>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</si>
  <si>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</si>
  <si>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</si>
  <si>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</si>
  <si>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</si>
  <si>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</si>
  <si>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</si>
  <si>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</si>
  <si>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</si>
  <si>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</si>
  <si>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</si>
  <si>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</si>
  <si>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</si>
  <si>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</si>
  <si>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</si>
  <si>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</si>
  <si>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</si>
  <si>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</si>
  <si>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</si>
  <si>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</si>
  <si>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</si>
  <si>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</si>
  <si>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</si>
  <si>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</si>
  <si>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</si>
  <si>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</si>
  <si>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</si>
  <si>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</si>
  <si>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</si>
  <si>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</si>
  <si>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</si>
  <si>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</si>
  <si>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</si>
  <si>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</si>
  <si>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</si>
  <si>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</si>
  <si>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</si>
  <si>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</si>
  <si>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</si>
  <si>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</si>
  <si>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</si>
  <si>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</si>
  <si>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</si>
  <si>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</si>
  <si>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</si>
  <si>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</si>
  <si>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</si>
  <si>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</si>
  <si>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</si>
  <si>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</si>
  <si>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</si>
  <si>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</si>
  <si>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</si>
  <si>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</si>
  <si>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</si>
  <si>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</si>
  <si>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</si>
  <si>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</si>
  <si>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</si>
  <si>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</si>
  <si>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</si>
  <si>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</si>
  <si>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</si>
  <si>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</si>
  <si>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</si>
  <si>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</si>
  <si>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</si>
  <si>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</si>
  <si>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</si>
  <si>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</si>
  <si>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</si>
  <si>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</si>
  <si>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</si>
  <si>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</si>
  <si>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</si>
  <si>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</si>
  <si>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</si>
  <si>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</si>
  <si>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</si>
  <si>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</si>
  <si>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</si>
  <si>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</si>
  <si>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</si>
  <si>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</si>
  <si>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</si>
  <si>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</si>
  <si>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</si>
  <si>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</si>
  <si>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</si>
  <si>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</si>
  <si>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</si>
  <si>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</si>
  <si>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</si>
  <si>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</si>
  <si>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</si>
  <si>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</si>
  <si>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</si>
  <si>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</si>
  <si>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</si>
  <si>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</si>
  <si>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</si>
  <si>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</si>
  <si>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</si>
  <si>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</si>
  <si>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</si>
  <si>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</si>
  <si>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</si>
  <si>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</si>
  <si>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</si>
  <si>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</si>
  <si>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</si>
  <si>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</si>
  <si>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</si>
  <si>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</si>
  <si>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</si>
  <si>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</si>
  <si>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</si>
  <si>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</si>
  <si>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</si>
  <si>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</si>
  <si>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</si>
  <si>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</si>
  <si>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</si>
  <si>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</si>
  <si>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</si>
  <si>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</si>
  <si>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</si>
  <si>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</si>
  <si>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</si>
  <si>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</si>
  <si>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</si>
  <si>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</si>
  <si>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</si>
  <si>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</si>
  <si>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</si>
  <si>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</si>
  <si>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</si>
  <si>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</si>
  <si>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</si>
  <si>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</si>
  <si>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</si>
  <si>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</si>
  <si>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</si>
  <si>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</si>
  <si>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</si>
  <si>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</si>
  <si>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</si>
  <si>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</si>
  <si>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</si>
  <si>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</si>
  <si>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</si>
  <si>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</si>
  <si>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</si>
  <si>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</si>
  <si>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</si>
  <si>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</si>
  <si>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</si>
  <si>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</si>
  <si>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</si>
  <si>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</si>
  <si>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</si>
  <si>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</si>
  <si>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</si>
  <si>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</si>
  <si>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</si>
  <si>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</si>
  <si>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</si>
  <si>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</si>
  <si>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</si>
  <si>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</si>
  <si>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</si>
  <si>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</si>
  <si>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</si>
  <si>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</si>
  <si>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</si>
  <si>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</si>
  <si>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</si>
  <si>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</si>
  <si>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</si>
  <si>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</si>
  <si>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</si>
  <si>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</si>
  <si>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</si>
  <si>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</si>
  <si>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</si>
  <si>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</si>
  <si>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</si>
  <si>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</si>
  <si>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</si>
  <si>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</si>
  <si>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</si>
  <si>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</si>
  <si>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</si>
  <si>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</si>
  <si>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</si>
  <si>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</si>
  <si>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</si>
  <si>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</si>
  <si>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</si>
  <si>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</si>
  <si>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</si>
  <si>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</si>
  <si>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</si>
  <si>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</si>
  <si>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</si>
  <si>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</si>
  <si>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</si>
  <si>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</si>
  <si>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</si>
  <si>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</si>
  <si>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</si>
  <si>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</si>
  <si>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</si>
  <si>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</si>
  <si>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</si>
  <si>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</si>
  <si>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</si>
  <si>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</si>
  <si>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</si>
  <si>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</si>
  <si>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</si>
  <si>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</si>
  <si>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</si>
  <si>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</si>
  <si>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</si>
  <si>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</si>
  <si>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</si>
  <si>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</si>
  <si>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</si>
  <si>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</si>
  <si>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</si>
  <si>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</si>
  <si>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</si>
  <si>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</si>
  <si>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</si>
  <si>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</si>
  <si>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</si>
  <si>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</si>
  <si>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</si>
  <si>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</si>
  <si>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</si>
  <si>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</si>
  <si>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</si>
  <si>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</si>
  <si>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</si>
  <si>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</si>
  <si>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</si>
  <si>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</si>
  <si>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</si>
  <si>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</si>
  <si>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</si>
  <si>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</si>
  <si>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</si>
  <si>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</si>
  <si>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</si>
  <si>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</si>
  <si>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</si>
  <si>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</si>
  <si>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</si>
  <si>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13014</t>
  </si>
  <si>
    <t>HOOGSTRATEN</t>
  </si>
  <si>
    <t>Paarden&amp;pony's 200 - 600 kg</t>
  </si>
  <si>
    <t>Paarden&amp;pony's &lt; 200 kg</t>
  </si>
  <si>
    <t>Fluvius</t>
  </si>
  <si>
    <t>referentietaak LNE (2017); Jaarverslag De Lijn</t>
  </si>
  <si>
    <t>Vergo Energie</t>
  </si>
  <si>
    <t>Maxburghdreef 6A, 2321 Meer</t>
  </si>
  <si>
    <t>WKK-0122 Vergo Energie</t>
  </si>
  <si>
    <t>interne verbrandingsmotor</t>
  </si>
  <si>
    <t>WKK interne verbrandinsgmotor (gas)</t>
  </si>
  <si>
    <t>IVEKA</t>
  </si>
  <si>
    <t>Groeikracht Rielbro NV</t>
  </si>
  <si>
    <t>Eindsestraat 1d, 2321 Meer</t>
  </si>
  <si>
    <t>WKK-0141 Groeikracht Rielbro</t>
  </si>
  <si>
    <t>Pafa bvba</t>
  </si>
  <si>
    <t>Maxburgdreef 36A, 2321 Meer</t>
  </si>
  <si>
    <t>WKK-0164 Pafa</t>
  </si>
  <si>
    <t>Rovak bvba</t>
  </si>
  <si>
    <t>Gaarshof 12 , 2321 Meer</t>
  </si>
  <si>
    <t>WKK-0180 Rovak bvba</t>
  </si>
  <si>
    <t>Meer Fresh Products bvba</t>
  </si>
  <si>
    <t>Kettingdreef 3, 2321 Meer</t>
  </si>
  <si>
    <t>WKK-0120 Meer Fresh products</t>
  </si>
  <si>
    <t>Desta NV</t>
  </si>
  <si>
    <t>Heerle 11 , 2320 Hoogstraten</t>
  </si>
  <si>
    <t>WKK-0233 Desta NV</t>
  </si>
  <si>
    <t>WKK-Willy Jacobs</t>
  </si>
  <si>
    <t>Oosteneind 2 A, 2328 Meerle</t>
  </si>
  <si>
    <t>WKK-0312 Willy Jacobs</t>
  </si>
  <si>
    <t>WKK interne verbrandinsgmotor (vloeibaar)</t>
  </si>
  <si>
    <t>eilandwerking</t>
  </si>
  <si>
    <t>Malve NV</t>
  </si>
  <si>
    <t>John Lijsenstraat 49 , 2321 Meer</t>
  </si>
  <si>
    <t>WKK-0403 Malve</t>
  </si>
  <si>
    <t>Biolectric nv</t>
  </si>
  <si>
    <t>Jan de Malschelaan 4 B, 9140 Temse</t>
  </si>
  <si>
    <t>WKK-0479 Peter Vermeiren</t>
  </si>
  <si>
    <t>Hal 19 , 2322 Minderhout</t>
  </si>
  <si>
    <t>WKK-0510 Jan Vermeiren</t>
  </si>
  <si>
    <t>Beemden 18 , 2322 Minderhout</t>
  </si>
  <si>
    <t>Aquafin NV</t>
  </si>
  <si>
    <t>Dijkstraat 8, 2630 Aartselaar</t>
  </si>
  <si>
    <t>BGS-0044 RWZI Hoogstraten</t>
  </si>
  <si>
    <t>biogas - RWZI</t>
  </si>
  <si>
    <t>niet WKK interne verbrandingsmotor (gas)</t>
  </si>
  <si>
    <t>Rollekens 4, 2320 Hoogstraten</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</si>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</sst>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13014</v>
      </c>
      <c r="B6" s="386"/>
      <c r="C6" s="387"/>
    </row>
    <row r="7" spans="1:7" s="384" customFormat="1" ht="15.75" customHeight="1">
      <c r="A7" s="388" t="str">
        <f>txtMunicipality</f>
        <v>HOOGSTRATEN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59770.35963687874</v>
      </c>
      <c r="D10" s="676">
        <f ca="1">tertiair!C16</f>
        <v>12857.142857142857</v>
      </c>
      <c r="E10" s="676">
        <f ca="1">tertiair!D16</f>
        <v>41748.21740362516</v>
      </c>
      <c r="F10" s="676">
        <f>tertiair!E16</f>
        <v>420.67160565716495</v>
      </c>
      <c r="G10" s="676">
        <f ca="1">tertiair!F16</f>
        <v>9537.7518074455838</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0</v>
      </c>
      <c r="Q10" s="677">
        <f>tertiair!P16</f>
        <v>76.266666666666666</v>
      </c>
      <c r="R10" s="679">
        <f ca="1">SUM(C10:Q10)</f>
        <v>124410.40997741616</v>
      </c>
      <c r="S10" s="68"/>
    </row>
    <row r="11" spans="1:19" s="445" customFormat="1">
      <c r="A11" s="791" t="s">
        <v>220</v>
      </c>
      <c r="B11" s="796"/>
      <c r="C11" s="676">
        <f>huishoudens!B8</f>
        <v>38928.531227451553</v>
      </c>
      <c r="D11" s="676">
        <f>huishoudens!C8</f>
        <v>0</v>
      </c>
      <c r="E11" s="676">
        <f>huishoudens!D8</f>
        <v>95471.426552050965</v>
      </c>
      <c r="F11" s="676">
        <f>huishoudens!E8</f>
        <v>1537.0364583647415</v>
      </c>
      <c r="G11" s="676">
        <f>huishoudens!F8</f>
        <v>46859.779143952204</v>
      </c>
      <c r="H11" s="676">
        <f>huishoudens!G8</f>
        <v>0</v>
      </c>
      <c r="I11" s="676">
        <f>huishoudens!H8</f>
        <v>0</v>
      </c>
      <c r="J11" s="676">
        <f>huishoudens!I8</f>
        <v>0</v>
      </c>
      <c r="K11" s="676">
        <f>huishoudens!J8</f>
        <v>850.25436447218999</v>
      </c>
      <c r="L11" s="676">
        <f>huishoudens!K8</f>
        <v>0</v>
      </c>
      <c r="M11" s="676">
        <f>huishoudens!L8</f>
        <v>0</v>
      </c>
      <c r="N11" s="676">
        <f>huishoudens!M8</f>
        <v>0</v>
      </c>
      <c r="O11" s="676">
        <f>huishoudens!N8</f>
        <v>11385.592273486742</v>
      </c>
      <c r="P11" s="676">
        <f>huishoudens!O8</f>
        <v>204.79666666666668</v>
      </c>
      <c r="Q11" s="677">
        <f>huishoudens!P8</f>
        <v>572</v>
      </c>
      <c r="R11" s="679">
        <f>SUM(C11:Q11)</f>
        <v>195809.4166864451</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82122.919282278235</v>
      </c>
      <c r="D13" s="676">
        <f>industrie!C18</f>
        <v>784.28571428571433</v>
      </c>
      <c r="E13" s="676">
        <f>industrie!D18</f>
        <v>63281.035198035745</v>
      </c>
      <c r="F13" s="676">
        <f>industrie!E18</f>
        <v>792.4785559510359</v>
      </c>
      <c r="G13" s="676">
        <f>industrie!F18</f>
        <v>17770.30326726786</v>
      </c>
      <c r="H13" s="676">
        <f>industrie!G18</f>
        <v>0</v>
      </c>
      <c r="I13" s="676">
        <f>industrie!H18</f>
        <v>0</v>
      </c>
      <c r="J13" s="676">
        <f>industrie!I18</f>
        <v>0</v>
      </c>
      <c r="K13" s="676">
        <f>industrie!J18</f>
        <v>373.99648733449777</v>
      </c>
      <c r="L13" s="676">
        <f>industrie!K18</f>
        <v>0</v>
      </c>
      <c r="M13" s="676">
        <f>industrie!L18</f>
        <v>0</v>
      </c>
      <c r="N13" s="676">
        <f>industrie!M18</f>
        <v>0</v>
      </c>
      <c r="O13" s="676">
        <f>industrie!N18</f>
        <v>3492.2259857677886</v>
      </c>
      <c r="P13" s="676">
        <f>industrie!O18</f>
        <v>0</v>
      </c>
      <c r="Q13" s="677">
        <f>industrie!P18</f>
        <v>0</v>
      </c>
      <c r="R13" s="679">
        <f>SUM(C13:Q13)</f>
        <v>168617.24449092086</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180821.81014660851</v>
      </c>
      <c r="D16" s="709">
        <f t="shared" ref="D16:R16" ca="1" si="0">SUM(D9:D15)</f>
        <v>13641.428571428571</v>
      </c>
      <c r="E16" s="709">
        <f t="shared" ca="1" si="0"/>
        <v>200500.67915371186</v>
      </c>
      <c r="F16" s="709">
        <f t="shared" si="0"/>
        <v>2750.1866199729425</v>
      </c>
      <c r="G16" s="709">
        <f t="shared" ca="1" si="0"/>
        <v>74167.834218665637</v>
      </c>
      <c r="H16" s="709">
        <f t="shared" si="0"/>
        <v>0</v>
      </c>
      <c r="I16" s="709">
        <f t="shared" si="0"/>
        <v>0</v>
      </c>
      <c r="J16" s="709">
        <f t="shared" si="0"/>
        <v>0</v>
      </c>
      <c r="K16" s="709">
        <f t="shared" si="0"/>
        <v>1224.2508518066877</v>
      </c>
      <c r="L16" s="709">
        <f t="shared" si="0"/>
        <v>0</v>
      </c>
      <c r="M16" s="709">
        <f t="shared" ca="1" si="0"/>
        <v>0</v>
      </c>
      <c r="N16" s="709">
        <f t="shared" si="0"/>
        <v>0</v>
      </c>
      <c r="O16" s="709">
        <f t="shared" ca="1" si="0"/>
        <v>14877.818259254531</v>
      </c>
      <c r="P16" s="709">
        <f t="shared" si="0"/>
        <v>204.79666666666668</v>
      </c>
      <c r="Q16" s="709">
        <f t="shared" si="0"/>
        <v>648.26666666666665</v>
      </c>
      <c r="R16" s="709">
        <f t="shared" ca="1" si="0"/>
        <v>488837.07115478214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9.4700661800351611</v>
      </c>
      <c r="D19" s="676">
        <f>transport!C54</f>
        <v>0</v>
      </c>
      <c r="E19" s="676">
        <f>transport!D54</f>
        <v>0</v>
      </c>
      <c r="F19" s="676">
        <f>transport!E54</f>
        <v>0</v>
      </c>
      <c r="G19" s="676">
        <f>transport!F54</f>
        <v>0</v>
      </c>
      <c r="H19" s="676">
        <f>transport!G54</f>
        <v>1888.823370462336</v>
      </c>
      <c r="I19" s="676">
        <f>transport!H54</f>
        <v>0</v>
      </c>
      <c r="J19" s="676">
        <f>transport!I54</f>
        <v>0</v>
      </c>
      <c r="K19" s="676">
        <f>transport!J54</f>
        <v>0</v>
      </c>
      <c r="L19" s="676">
        <f>transport!K54</f>
        <v>0</v>
      </c>
      <c r="M19" s="676">
        <f>transport!L54</f>
        <v>0</v>
      </c>
      <c r="N19" s="676">
        <f>transport!M54</f>
        <v>83.483981264621193</v>
      </c>
      <c r="O19" s="676">
        <f>transport!N54</f>
        <v>0</v>
      </c>
      <c r="P19" s="676">
        <f>transport!O54</f>
        <v>0</v>
      </c>
      <c r="Q19" s="677">
        <f>transport!P54</f>
        <v>0</v>
      </c>
      <c r="R19" s="679">
        <f>SUM(C19:Q19)</f>
        <v>1981.7774179069925</v>
      </c>
      <c r="S19" s="68"/>
    </row>
    <row r="20" spans="1:19" s="445" customFormat="1">
      <c r="A20" s="791" t="s">
        <v>302</v>
      </c>
      <c r="B20" s="796"/>
      <c r="C20" s="676">
        <f>transport!B14</f>
        <v>11.157935754101482</v>
      </c>
      <c r="D20" s="676">
        <f>transport!C14</f>
        <v>0</v>
      </c>
      <c r="E20" s="676">
        <f>transport!D14</f>
        <v>12.959403003629188</v>
      </c>
      <c r="F20" s="676">
        <f>transport!E14</f>
        <v>922.60035977550456</v>
      </c>
      <c r="G20" s="676">
        <f>transport!F14</f>
        <v>0</v>
      </c>
      <c r="H20" s="676">
        <f>transport!G14</f>
        <v>264402.34146155074</v>
      </c>
      <c r="I20" s="676">
        <f>transport!H14</f>
        <v>32071.730809616409</v>
      </c>
      <c r="J20" s="676">
        <f>transport!I14</f>
        <v>0</v>
      </c>
      <c r="K20" s="676">
        <f>transport!J14</f>
        <v>0</v>
      </c>
      <c r="L20" s="676">
        <f>transport!K14</f>
        <v>0</v>
      </c>
      <c r="M20" s="676">
        <f>transport!L14</f>
        <v>0</v>
      </c>
      <c r="N20" s="676">
        <f>transport!M14</f>
        <v>13233.804534314198</v>
      </c>
      <c r="O20" s="676">
        <f>transport!N14</f>
        <v>0</v>
      </c>
      <c r="P20" s="676">
        <f>transport!O14</f>
        <v>0</v>
      </c>
      <c r="Q20" s="677">
        <f>transport!P14</f>
        <v>0</v>
      </c>
      <c r="R20" s="679">
        <f>SUM(C20:Q20)</f>
        <v>310654.59450401459</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20.628001934136641</v>
      </c>
      <c r="D22" s="794">
        <f t="shared" ref="D22:R22" si="1">SUM(D18:D21)</f>
        <v>0</v>
      </c>
      <c r="E22" s="794">
        <f t="shared" si="1"/>
        <v>12.959403003629188</v>
      </c>
      <c r="F22" s="794">
        <f t="shared" si="1"/>
        <v>922.60035977550456</v>
      </c>
      <c r="G22" s="794">
        <f t="shared" si="1"/>
        <v>0</v>
      </c>
      <c r="H22" s="794">
        <f t="shared" si="1"/>
        <v>266291.16483201308</v>
      </c>
      <c r="I22" s="794">
        <f t="shared" si="1"/>
        <v>32071.730809616409</v>
      </c>
      <c r="J22" s="794">
        <f t="shared" si="1"/>
        <v>0</v>
      </c>
      <c r="K22" s="794">
        <f t="shared" si="1"/>
        <v>0</v>
      </c>
      <c r="L22" s="794">
        <f t="shared" si="1"/>
        <v>0</v>
      </c>
      <c r="M22" s="794">
        <f t="shared" si="1"/>
        <v>0</v>
      </c>
      <c r="N22" s="794">
        <f t="shared" si="1"/>
        <v>13317.288515578819</v>
      </c>
      <c r="O22" s="794">
        <f t="shared" si="1"/>
        <v>0</v>
      </c>
      <c r="P22" s="794">
        <f t="shared" si="1"/>
        <v>0</v>
      </c>
      <c r="Q22" s="794">
        <f t="shared" si="1"/>
        <v>0</v>
      </c>
      <c r="R22" s="794">
        <f t="shared" si="1"/>
        <v>312636.37192192156</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20278.358447475097</v>
      </c>
      <c r="D24" s="676">
        <f>+landbouw!C8</f>
        <v>78700.5</v>
      </c>
      <c r="E24" s="676">
        <f>+landbouw!D8</f>
        <v>16852.062381648109</v>
      </c>
      <c r="F24" s="676">
        <f>+landbouw!E8</f>
        <v>191.03572352106909</v>
      </c>
      <c r="G24" s="676">
        <f>+landbouw!F8</f>
        <v>63835.013410247309</v>
      </c>
      <c r="H24" s="676">
        <f>+landbouw!G8</f>
        <v>0</v>
      </c>
      <c r="I24" s="676">
        <f>+landbouw!H8</f>
        <v>0</v>
      </c>
      <c r="J24" s="676">
        <f>+landbouw!I8</f>
        <v>0</v>
      </c>
      <c r="K24" s="676">
        <f>+landbouw!J8</f>
        <v>2508.5315738692111</v>
      </c>
      <c r="L24" s="676">
        <f>+landbouw!K8</f>
        <v>0</v>
      </c>
      <c r="M24" s="676">
        <f>+landbouw!L8</f>
        <v>0</v>
      </c>
      <c r="N24" s="676">
        <f>+landbouw!M8</f>
        <v>0</v>
      </c>
      <c r="O24" s="676">
        <f>+landbouw!N8</f>
        <v>0</v>
      </c>
      <c r="P24" s="676">
        <f>+landbouw!O8</f>
        <v>0</v>
      </c>
      <c r="Q24" s="677">
        <f>+landbouw!P8</f>
        <v>0</v>
      </c>
      <c r="R24" s="679">
        <f>SUM(C24:Q24)</f>
        <v>182365.5015367608</v>
      </c>
      <c r="S24" s="68"/>
    </row>
    <row r="25" spans="1:19" s="445" customFormat="1" ht="15" thickBot="1">
      <c r="A25" s="813" t="s">
        <v>879</v>
      </c>
      <c r="B25" s="979"/>
      <c r="C25" s="980">
        <f>IF(Onbekend_ele_kWh="---",0,Onbekend_ele_kWh)/1000+IF(REST_rest_ele_kWh="---",0,REST_rest_ele_kWh)/1000</f>
        <v>2056.9995171003802</v>
      </c>
      <c r="D25" s="980"/>
      <c r="E25" s="980">
        <f>IF(onbekend_gas_kWh="---",0,onbekend_gas_kWh)/1000+IF(REST_rest_gas_kWh="---",0,REST_rest_gas_kWh)/1000</f>
        <v>3104.0041935960198</v>
      </c>
      <c r="F25" s="980"/>
      <c r="G25" s="980"/>
      <c r="H25" s="980"/>
      <c r="I25" s="980"/>
      <c r="J25" s="980"/>
      <c r="K25" s="980"/>
      <c r="L25" s="980"/>
      <c r="M25" s="980"/>
      <c r="N25" s="980"/>
      <c r="O25" s="980"/>
      <c r="P25" s="980"/>
      <c r="Q25" s="981"/>
      <c r="R25" s="679">
        <f>SUM(C25:Q25)</f>
        <v>5161.0037106964</v>
      </c>
      <c r="S25" s="68"/>
    </row>
    <row r="26" spans="1:19" s="445" customFormat="1" ht="15.75" thickBot="1">
      <c r="A26" s="682" t="s">
        <v>880</v>
      </c>
      <c r="B26" s="799"/>
      <c r="C26" s="794">
        <f>SUM(C24:C25)</f>
        <v>22335.357964575476</v>
      </c>
      <c r="D26" s="794">
        <f t="shared" ref="D26:R26" si="2">SUM(D24:D25)</f>
        <v>78700.5</v>
      </c>
      <c r="E26" s="794">
        <f t="shared" si="2"/>
        <v>19956.066575244127</v>
      </c>
      <c r="F26" s="794">
        <f t="shared" si="2"/>
        <v>191.03572352106909</v>
      </c>
      <c r="G26" s="794">
        <f t="shared" si="2"/>
        <v>63835.013410247309</v>
      </c>
      <c r="H26" s="794">
        <f t="shared" si="2"/>
        <v>0</v>
      </c>
      <c r="I26" s="794">
        <f t="shared" si="2"/>
        <v>0</v>
      </c>
      <c r="J26" s="794">
        <f t="shared" si="2"/>
        <v>0</v>
      </c>
      <c r="K26" s="794">
        <f t="shared" si="2"/>
        <v>2508.5315738692111</v>
      </c>
      <c r="L26" s="794">
        <f t="shared" si="2"/>
        <v>0</v>
      </c>
      <c r="M26" s="794">
        <f t="shared" si="2"/>
        <v>0</v>
      </c>
      <c r="N26" s="794">
        <f t="shared" si="2"/>
        <v>0</v>
      </c>
      <c r="O26" s="794">
        <f t="shared" si="2"/>
        <v>0</v>
      </c>
      <c r="P26" s="794">
        <f t="shared" si="2"/>
        <v>0</v>
      </c>
      <c r="Q26" s="794">
        <f t="shared" si="2"/>
        <v>0</v>
      </c>
      <c r="R26" s="794">
        <f t="shared" si="2"/>
        <v>187526.50524745719</v>
      </c>
      <c r="S26" s="68"/>
    </row>
    <row r="27" spans="1:19" s="445" customFormat="1" ht="17.25" thickTop="1" thickBot="1">
      <c r="A27" s="683" t="s">
        <v>115</v>
      </c>
      <c r="B27" s="786"/>
      <c r="C27" s="684">
        <f ca="1">C22+C16+C26</f>
        <v>203177.79611311812</v>
      </c>
      <c r="D27" s="684">
        <f t="shared" ref="D27:R27" ca="1" si="3">D22+D16+D26</f>
        <v>92341.928571428565</v>
      </c>
      <c r="E27" s="684">
        <f t="shared" ca="1" si="3"/>
        <v>220469.70513195961</v>
      </c>
      <c r="F27" s="684">
        <f t="shared" si="3"/>
        <v>3863.8227032695163</v>
      </c>
      <c r="G27" s="684">
        <f t="shared" ca="1" si="3"/>
        <v>138002.84762891295</v>
      </c>
      <c r="H27" s="684">
        <f t="shared" si="3"/>
        <v>266291.16483201308</v>
      </c>
      <c r="I27" s="684">
        <f t="shared" si="3"/>
        <v>32071.730809616409</v>
      </c>
      <c r="J27" s="684">
        <f t="shared" si="3"/>
        <v>0</v>
      </c>
      <c r="K27" s="684">
        <f t="shared" si="3"/>
        <v>3732.7824256758986</v>
      </c>
      <c r="L27" s="684">
        <f t="shared" si="3"/>
        <v>0</v>
      </c>
      <c r="M27" s="684">
        <f t="shared" ca="1" si="3"/>
        <v>0</v>
      </c>
      <c r="N27" s="684">
        <f t="shared" si="3"/>
        <v>13317.288515578819</v>
      </c>
      <c r="O27" s="684">
        <f t="shared" ca="1" si="3"/>
        <v>14877.818259254531</v>
      </c>
      <c r="P27" s="684">
        <f t="shared" si="3"/>
        <v>204.79666666666668</v>
      </c>
      <c r="Q27" s="684">
        <f t="shared" si="3"/>
        <v>648.26666666666665</v>
      </c>
      <c r="R27" s="684">
        <f t="shared" ca="1" si="3"/>
        <v>988999.94832416088</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11539.087835904096</v>
      </c>
      <c r="D40" s="676">
        <f ca="1">tertiair!C20</f>
        <v>2946.1427837441925</v>
      </c>
      <c r="E40" s="676">
        <f ca="1">tertiair!D20</f>
        <v>8433.1399155322833</v>
      </c>
      <c r="F40" s="676">
        <f>tertiair!E20</f>
        <v>95.492454484176449</v>
      </c>
      <c r="G40" s="676">
        <f ca="1">tertiair!F20</f>
        <v>2546.5797325879712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25560.442722252723</v>
      </c>
    </row>
    <row r="41" spans="1:18">
      <c r="A41" s="804" t="s">
        <v>220</v>
      </c>
      <c r="B41" s="811"/>
      <c r="C41" s="676">
        <f ca="1">huishoudens!B12</f>
        <v>7515.4264402173603</v>
      </c>
      <c r="D41" s="676">
        <f ca="1">huishoudens!C12</f>
        <v>0</v>
      </c>
      <c r="E41" s="676">
        <f>huishoudens!D12</f>
        <v>19285.228163514297</v>
      </c>
      <c r="F41" s="676">
        <f>huishoudens!E12</f>
        <v>348.90727604879635</v>
      </c>
      <c r="G41" s="676">
        <f>huishoudens!F12</f>
        <v>12511.56103143524</v>
      </c>
      <c r="H41" s="676">
        <f>huishoudens!G12</f>
        <v>0</v>
      </c>
      <c r="I41" s="676">
        <f>huishoudens!H12</f>
        <v>0</v>
      </c>
      <c r="J41" s="676">
        <f>huishoudens!I12</f>
        <v>0</v>
      </c>
      <c r="K41" s="676">
        <f>huishoudens!J12</f>
        <v>300.99004502315523</v>
      </c>
      <c r="L41" s="676">
        <f>huishoudens!K12</f>
        <v>0</v>
      </c>
      <c r="M41" s="676">
        <f>huishoudens!L12</f>
        <v>0</v>
      </c>
      <c r="N41" s="676">
        <f>huishoudens!M12</f>
        <v>0</v>
      </c>
      <c r="O41" s="676">
        <f>huishoudens!N12</f>
        <v>0</v>
      </c>
      <c r="P41" s="676">
        <f>huishoudens!O12</f>
        <v>0</v>
      </c>
      <c r="Q41" s="751">
        <f>huishoudens!P12</f>
        <v>0</v>
      </c>
      <c r="R41" s="832">
        <f t="shared" ca="1" si="4"/>
        <v>39962.112956238852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15854.406510118775</v>
      </c>
      <c r="D43" s="676">
        <f ca="1">industrie!C22</f>
        <v>179.71470980839575</v>
      </c>
      <c r="E43" s="676">
        <f>industrie!D22</f>
        <v>12782.769110003221</v>
      </c>
      <c r="F43" s="676">
        <f>industrie!E22</f>
        <v>179.89263220088515</v>
      </c>
      <c r="G43" s="676">
        <f>industrie!F22</f>
        <v>4744.670972360519</v>
      </c>
      <c r="H43" s="676">
        <f>industrie!G22</f>
        <v>0</v>
      </c>
      <c r="I43" s="676">
        <f>industrie!H22</f>
        <v>0</v>
      </c>
      <c r="J43" s="676">
        <f>industrie!I22</f>
        <v>0</v>
      </c>
      <c r="K43" s="676">
        <f>industrie!J22</f>
        <v>132.3947565164122</v>
      </c>
      <c r="L43" s="676">
        <f>industrie!K22</f>
        <v>0</v>
      </c>
      <c r="M43" s="676">
        <f>industrie!L22</f>
        <v>0</v>
      </c>
      <c r="N43" s="676">
        <f>industrie!M22</f>
        <v>0</v>
      </c>
      <c r="O43" s="676">
        <f>industrie!N22</f>
        <v>0</v>
      </c>
      <c r="P43" s="676">
        <f>industrie!O22</f>
        <v>0</v>
      </c>
      <c r="Q43" s="751">
        <f>industrie!P22</f>
        <v>0</v>
      </c>
      <c r="R43" s="831">
        <f t="shared" ca="1" si="4"/>
        <v>33873.848691008207</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34908.920786240233</v>
      </c>
      <c r="D46" s="709">
        <f t="shared" ref="D46:Q46" ca="1" si="5">SUM(D39:D45)</f>
        <v>3125.857493552588</v>
      </c>
      <c r="E46" s="709">
        <f t="shared" ca="1" si="5"/>
        <v>40501.137189049798</v>
      </c>
      <c r="F46" s="709">
        <f t="shared" si="5"/>
        <v>624.292362733858</v>
      </c>
      <c r="G46" s="709">
        <f t="shared" ca="1" si="5"/>
        <v>19802.81173638373</v>
      </c>
      <c r="H46" s="709">
        <f t="shared" si="5"/>
        <v>0</v>
      </c>
      <c r="I46" s="709">
        <f t="shared" si="5"/>
        <v>0</v>
      </c>
      <c r="J46" s="709">
        <f t="shared" si="5"/>
        <v>0</v>
      </c>
      <c r="K46" s="709">
        <f t="shared" si="5"/>
        <v>433.38480153956743</v>
      </c>
      <c r="L46" s="709">
        <f t="shared" si="5"/>
        <v>0</v>
      </c>
      <c r="M46" s="709">
        <f t="shared" ca="1" si="5"/>
        <v>0</v>
      </c>
      <c r="N46" s="709">
        <f t="shared" si="5"/>
        <v>0</v>
      </c>
      <c r="O46" s="709">
        <f t="shared" ca="1" si="5"/>
        <v>0</v>
      </c>
      <c r="P46" s="709">
        <f t="shared" si="5"/>
        <v>0</v>
      </c>
      <c r="Q46" s="709">
        <f t="shared" si="5"/>
        <v>0</v>
      </c>
      <c r="R46" s="709">
        <f ca="1">SUM(R39:R45)</f>
        <v>99396.404369499782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1.8282628066341176</v>
      </c>
      <c r="D49" s="676">
        <f ca="1">transport!C58</f>
        <v>0</v>
      </c>
      <c r="E49" s="676">
        <f>transport!D58</f>
        <v>0</v>
      </c>
      <c r="F49" s="676">
        <f>transport!E58</f>
        <v>0</v>
      </c>
      <c r="G49" s="676">
        <f>transport!F58</f>
        <v>0</v>
      </c>
      <c r="H49" s="676">
        <f>transport!G58</f>
        <v>504.31583991344377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506.14410272007791</v>
      </c>
    </row>
    <row r="50" spans="1:18">
      <c r="A50" s="807" t="s">
        <v>302</v>
      </c>
      <c r="B50" s="817"/>
      <c r="C50" s="986">
        <f ca="1">transport!B18</f>
        <v>2.1541178857908472</v>
      </c>
      <c r="D50" s="986">
        <f>transport!C18</f>
        <v>0</v>
      </c>
      <c r="E50" s="986">
        <f>transport!D18</f>
        <v>2.6177994067330959</v>
      </c>
      <c r="F50" s="986">
        <f>transport!E18</f>
        <v>209.43028166903954</v>
      </c>
      <c r="G50" s="986">
        <f>transport!F18</f>
        <v>0</v>
      </c>
      <c r="H50" s="986">
        <f>transport!G18</f>
        <v>70595.425170234055</v>
      </c>
      <c r="I50" s="986">
        <f>transport!H18</f>
        <v>7985.8609715944858</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78795.488340790107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3.9823806924249645</v>
      </c>
      <c r="D52" s="709">
        <f t="shared" ref="D52:Q52" ca="1" si="6">SUM(D48:D51)</f>
        <v>0</v>
      </c>
      <c r="E52" s="709">
        <f t="shared" si="6"/>
        <v>2.6177994067330959</v>
      </c>
      <c r="F52" s="709">
        <f t="shared" si="6"/>
        <v>209.43028166903954</v>
      </c>
      <c r="G52" s="709">
        <f t="shared" si="6"/>
        <v>0</v>
      </c>
      <c r="H52" s="709">
        <f t="shared" si="6"/>
        <v>71099.741010147496</v>
      </c>
      <c r="I52" s="709">
        <f t="shared" si="6"/>
        <v>7985.8609715944858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79301.632443510185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3914.879560955279</v>
      </c>
      <c r="D54" s="986">
        <f ca="1">+landbouw!C12</f>
        <v>18033.781900715763</v>
      </c>
      <c r="E54" s="986">
        <f>+landbouw!D12</f>
        <v>3404.1166010929182</v>
      </c>
      <c r="F54" s="986">
        <f>+landbouw!E12</f>
        <v>43.365109239282681</v>
      </c>
      <c r="G54" s="986">
        <f>+landbouw!F12</f>
        <v>17043.948580536031</v>
      </c>
      <c r="H54" s="986">
        <f>+landbouw!G12</f>
        <v>0</v>
      </c>
      <c r="I54" s="986">
        <f>+landbouw!H12</f>
        <v>0</v>
      </c>
      <c r="J54" s="986">
        <f>+landbouw!I12</f>
        <v>0</v>
      </c>
      <c r="K54" s="986">
        <f>+landbouw!J12</f>
        <v>888.02017714970066</v>
      </c>
      <c r="L54" s="986">
        <f>+landbouw!K12</f>
        <v>0</v>
      </c>
      <c r="M54" s="986">
        <f>+landbouw!L12</f>
        <v>0</v>
      </c>
      <c r="N54" s="986">
        <f>+landbouw!M12</f>
        <v>0</v>
      </c>
      <c r="O54" s="986">
        <f>+landbouw!N12</f>
        <v>0</v>
      </c>
      <c r="P54" s="986">
        <f>+landbouw!O12</f>
        <v>0</v>
      </c>
      <c r="Q54" s="987">
        <f>+landbouw!P12</f>
        <v>0</v>
      </c>
      <c r="R54" s="708">
        <f ca="1">SUM(C54:Q54)</f>
        <v>43328.111929688974</v>
      </c>
    </row>
    <row r="55" spans="1:18" ht="15" thickBot="1">
      <c r="A55" s="807" t="s">
        <v>879</v>
      </c>
      <c r="B55" s="817"/>
      <c r="C55" s="986">
        <f ca="1">C25*'EF ele_warmte'!B12</f>
        <v>397.1182079284057</v>
      </c>
      <c r="D55" s="986"/>
      <c r="E55" s="986">
        <f>E25*EF_CO2_aardgas</f>
        <v>627.00884710639605</v>
      </c>
      <c r="F55" s="986"/>
      <c r="G55" s="986"/>
      <c r="H55" s="986"/>
      <c r="I55" s="986"/>
      <c r="J55" s="986"/>
      <c r="K55" s="986"/>
      <c r="L55" s="986"/>
      <c r="M55" s="986"/>
      <c r="N55" s="986"/>
      <c r="O55" s="986"/>
      <c r="P55" s="986"/>
      <c r="Q55" s="987"/>
      <c r="R55" s="708">
        <f ca="1">SUM(C55:Q55)</f>
        <v>1024.1270550348017</v>
      </c>
    </row>
    <row r="56" spans="1:18" ht="15.75" thickBot="1">
      <c r="A56" s="805" t="s">
        <v>880</v>
      </c>
      <c r="B56" s="818"/>
      <c r="C56" s="709">
        <f ca="1">SUM(C54:C55)</f>
        <v>4311.9977688836843</v>
      </c>
      <c r="D56" s="709">
        <f t="shared" ref="D56:Q56" ca="1" si="7">SUM(D54:D55)</f>
        <v>18033.781900715763</v>
      </c>
      <c r="E56" s="709">
        <f t="shared" si="7"/>
        <v>4031.1254481993142</v>
      </c>
      <c r="F56" s="709">
        <f t="shared" si="7"/>
        <v>43.365109239282681</v>
      </c>
      <c r="G56" s="709">
        <f t="shared" si="7"/>
        <v>17043.948580536031</v>
      </c>
      <c r="H56" s="709">
        <f t="shared" si="7"/>
        <v>0</v>
      </c>
      <c r="I56" s="709">
        <f t="shared" si="7"/>
        <v>0</v>
      </c>
      <c r="J56" s="709">
        <f t="shared" si="7"/>
        <v>0</v>
      </c>
      <c r="K56" s="709">
        <f t="shared" si="7"/>
        <v>888.02017714970066</v>
      </c>
      <c r="L56" s="709">
        <f t="shared" si="7"/>
        <v>0</v>
      </c>
      <c r="M56" s="709">
        <f t="shared" si="7"/>
        <v>0</v>
      </c>
      <c r="N56" s="709">
        <f t="shared" si="7"/>
        <v>0</v>
      </c>
      <c r="O56" s="709">
        <f t="shared" si="7"/>
        <v>0</v>
      </c>
      <c r="P56" s="709">
        <f t="shared" si="7"/>
        <v>0</v>
      </c>
      <c r="Q56" s="710">
        <f t="shared" si="7"/>
        <v>0</v>
      </c>
      <c r="R56" s="711">
        <f ca="1">SUM(R54:R55)</f>
        <v>44352.238984723779</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39224.900935816346</v>
      </c>
      <c r="D61" s="717">
        <f t="shared" ref="D61:Q61" ca="1" si="8">D46+D52+D56</f>
        <v>21159.63939426835</v>
      </c>
      <c r="E61" s="717">
        <f t="shared" ca="1" si="8"/>
        <v>44534.880436655847</v>
      </c>
      <c r="F61" s="717">
        <f t="shared" si="8"/>
        <v>877.08775364218025</v>
      </c>
      <c r="G61" s="717">
        <f t="shared" ca="1" si="8"/>
        <v>36846.760316919761</v>
      </c>
      <c r="H61" s="717">
        <f t="shared" si="8"/>
        <v>71099.741010147496</v>
      </c>
      <c r="I61" s="717">
        <f t="shared" si="8"/>
        <v>7985.8609715944858</v>
      </c>
      <c r="J61" s="717">
        <f t="shared" si="8"/>
        <v>0</v>
      </c>
      <c r="K61" s="717">
        <f t="shared" si="8"/>
        <v>1321.4049786892681</v>
      </c>
      <c r="L61" s="717">
        <f t="shared" si="8"/>
        <v>0</v>
      </c>
      <c r="M61" s="717">
        <f t="shared" ca="1" si="8"/>
        <v>0</v>
      </c>
      <c r="N61" s="717">
        <f t="shared" si="8"/>
        <v>0</v>
      </c>
      <c r="O61" s="717">
        <f t="shared" ca="1" si="8"/>
        <v>0</v>
      </c>
      <c r="P61" s="717">
        <f t="shared" si="8"/>
        <v>0</v>
      </c>
      <c r="Q61" s="717">
        <f t="shared" si="8"/>
        <v>0</v>
      </c>
      <c r="R61" s="717">
        <f ca="1">R46+R52+R56</f>
        <v>223050.27579773375</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0.19305702535516281</v>
      </c>
      <c r="D63" s="761">
        <f t="shared" ca="1" si="9"/>
        <v>0.2291444387356594</v>
      </c>
      <c r="E63" s="988">
        <f t="shared" ca="1" si="9"/>
        <v>0.20200000000000004</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19865.611266008218</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6894.397542266408</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2606.5927191056385</v>
      </c>
      <c r="C76" s="727">
        <f>'lokale energieproductie'!B8*IFERROR(SUM(D76:H76)/SUM(D76:O76),0)</f>
        <v>62828.357280894379</v>
      </c>
      <c r="D76" s="998">
        <f>'lokale energieproductie'!C8</f>
        <v>72945.244095380069</v>
      </c>
      <c r="E76" s="999">
        <f>'lokale energieproductie'!D8</f>
        <v>0</v>
      </c>
      <c r="F76" s="999">
        <f>'lokale energieproductie'!E8</f>
        <v>970.47035273093377</v>
      </c>
      <c r="G76" s="999">
        <f>'lokale energieproductie'!F8</f>
        <v>0</v>
      </c>
      <c r="H76" s="999">
        <f>'lokale energieproductie'!G8</f>
        <v>0</v>
      </c>
      <c r="I76" s="999">
        <f>'lokale energieproductie'!I8</f>
        <v>2911.4110581928012</v>
      </c>
      <c r="J76" s="999">
        <f>'lokale energieproductie'!J8</f>
        <v>155.1686113432427</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14994.054891445934</v>
      </c>
      <c r="R76" s="834">
        <v>0</v>
      </c>
    </row>
    <row r="77" spans="1:18" ht="30.75" thickBot="1">
      <c r="A77" s="730" t="s">
        <v>346</v>
      </c>
      <c r="B77" s="727">
        <f>'lokale energieproductie'!B9*IFERROR(SUM(I77:O77)/SUM(D77:O77),0)</f>
        <v>1341</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3831.4285714285716</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30707.601527380266</v>
      </c>
      <c r="C78" s="732">
        <f>SUM(C72:C77)</f>
        <v>62828.357280894379</v>
      </c>
      <c r="D78" s="733">
        <f t="shared" ref="D78:H78" si="10">SUM(D76:D77)</f>
        <v>72945.244095380069</v>
      </c>
      <c r="E78" s="733">
        <f t="shared" si="10"/>
        <v>0</v>
      </c>
      <c r="F78" s="733">
        <f t="shared" si="10"/>
        <v>970.47035273093377</v>
      </c>
      <c r="G78" s="733">
        <f t="shared" si="10"/>
        <v>0</v>
      </c>
      <c r="H78" s="733">
        <f t="shared" si="10"/>
        <v>0</v>
      </c>
      <c r="I78" s="733">
        <f>SUM(I76:I77)</f>
        <v>2911.4110581928012</v>
      </c>
      <c r="J78" s="733">
        <f>SUM(J76:J77)</f>
        <v>3986.5971827718145</v>
      </c>
      <c r="K78" s="733">
        <f t="shared" ref="K78:L78" si="11">SUM(K76:K77)</f>
        <v>0</v>
      </c>
      <c r="L78" s="733">
        <f t="shared" si="11"/>
        <v>0</v>
      </c>
      <c r="M78" s="733">
        <f>SUM(M76:M77)</f>
        <v>0</v>
      </c>
      <c r="N78" s="733">
        <f>SUM(N76:N77)</f>
        <v>0</v>
      </c>
      <c r="O78" s="842">
        <f>SUM(O76:O77)</f>
        <v>0</v>
      </c>
      <c r="P78" s="734">
        <v>0</v>
      </c>
      <c r="Q78" s="734">
        <f>SUM(Q76:Q77)</f>
        <v>14994.054891445934</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3678.4287094657916</v>
      </c>
      <c r="C87" s="743">
        <f>'lokale energieproductie'!B17*IFERROR(SUM(D87:H87)/SUM(D87:O87),0)</f>
        <v>88663.499861962788</v>
      </c>
      <c r="D87" s="754">
        <f>'lokale energieproductie'!C17</f>
        <v>102940.47019033419</v>
      </c>
      <c r="E87" s="754">
        <f>'lokale energieproductie'!D17</f>
        <v>0</v>
      </c>
      <c r="F87" s="754">
        <f>'lokale energieproductie'!E17</f>
        <v>1369.5296472690661</v>
      </c>
      <c r="G87" s="754">
        <f>'lokale energieproductie'!F17</f>
        <v>0</v>
      </c>
      <c r="H87" s="754">
        <f>'lokale energieproductie'!G17</f>
        <v>0</v>
      </c>
      <c r="I87" s="754">
        <f>'lokale energieproductie'!I17</f>
        <v>4108.5889418071984</v>
      </c>
      <c r="J87" s="754">
        <f>'lokale energieproductie'!J17</f>
        <v>218.97424579961438</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21159.63939426835</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3678.4287094657916</v>
      </c>
      <c r="C90" s="732">
        <f>SUM(C87:C89)</f>
        <v>88663.499861962788</v>
      </c>
      <c r="D90" s="732">
        <f t="shared" ref="D90:H90" si="12">SUM(D87:D89)</f>
        <v>102940.47019033419</v>
      </c>
      <c r="E90" s="732">
        <f t="shared" si="12"/>
        <v>0</v>
      </c>
      <c r="F90" s="732">
        <f t="shared" si="12"/>
        <v>1369.5296472690661</v>
      </c>
      <c r="G90" s="732">
        <f t="shared" si="12"/>
        <v>0</v>
      </c>
      <c r="H90" s="732">
        <f t="shared" si="12"/>
        <v>0</v>
      </c>
      <c r="I90" s="732">
        <f>SUM(I87:I89)</f>
        <v>4108.5889418071984</v>
      </c>
      <c r="J90" s="732">
        <f>SUM(J87:J89)</f>
        <v>218.97424579961438</v>
      </c>
      <c r="K90" s="732">
        <f t="shared" ref="K90:L90" si="13">SUM(K87:K89)</f>
        <v>0</v>
      </c>
      <c r="L90" s="732">
        <f t="shared" si="13"/>
        <v>0</v>
      </c>
      <c r="M90" s="732">
        <f>SUM(M87:M89)</f>
        <v>0</v>
      </c>
      <c r="N90" s="732">
        <f>SUM(N87:N89)</f>
        <v>0</v>
      </c>
      <c r="O90" s="732">
        <f>SUM(O87:O89)</f>
        <v>0</v>
      </c>
      <c r="P90" s="732">
        <v>0</v>
      </c>
      <c r="Q90" s="732">
        <f>SUM(Q87:Q89)</f>
        <v>21159.63939426835</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38928.531227451553</v>
      </c>
      <c r="C4" s="449">
        <f>huishoudens!C8</f>
        <v>0</v>
      </c>
      <c r="D4" s="449">
        <f>huishoudens!D8</f>
        <v>95471.426552050965</v>
      </c>
      <c r="E4" s="449">
        <f>huishoudens!E8</f>
        <v>1537.0364583647415</v>
      </c>
      <c r="F4" s="449">
        <f>huishoudens!F8</f>
        <v>46859.779143952204</v>
      </c>
      <c r="G4" s="449">
        <f>huishoudens!G8</f>
        <v>0</v>
      </c>
      <c r="H4" s="449">
        <f>huishoudens!H8</f>
        <v>0</v>
      </c>
      <c r="I4" s="449">
        <f>huishoudens!I8</f>
        <v>0</v>
      </c>
      <c r="J4" s="449">
        <f>huishoudens!J8</f>
        <v>850.25436447218999</v>
      </c>
      <c r="K4" s="449">
        <f>huishoudens!K8</f>
        <v>0</v>
      </c>
      <c r="L4" s="449">
        <f>huishoudens!L8</f>
        <v>0</v>
      </c>
      <c r="M4" s="449">
        <f>huishoudens!M8</f>
        <v>0</v>
      </c>
      <c r="N4" s="449">
        <f>huishoudens!N8</f>
        <v>11385.592273486742</v>
      </c>
      <c r="O4" s="449">
        <f>huishoudens!O8</f>
        <v>204.79666666666668</v>
      </c>
      <c r="P4" s="450">
        <f>huishoudens!P8</f>
        <v>572</v>
      </c>
      <c r="Q4" s="451">
        <f>SUM(B4:P4)</f>
        <v>195809.4166864451</v>
      </c>
    </row>
    <row r="5" spans="1:17">
      <c r="A5" s="448" t="s">
        <v>155</v>
      </c>
      <c r="B5" s="449">
        <f ca="1">tertiair!B16</f>
        <v>58331.739636878738</v>
      </c>
      <c r="C5" s="449">
        <f ca="1">tertiair!C16</f>
        <v>12857.142857142857</v>
      </c>
      <c r="D5" s="449">
        <f ca="1">tertiair!D16</f>
        <v>41748.21740362516</v>
      </c>
      <c r="E5" s="449">
        <f>tertiair!E16</f>
        <v>420.67160565716495</v>
      </c>
      <c r="F5" s="449">
        <f ca="1">tertiair!F16</f>
        <v>9537.7518074455838</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0</v>
      </c>
      <c r="P5" s="450">
        <f>tertiair!P16</f>
        <v>76.266666666666666</v>
      </c>
      <c r="Q5" s="448">
        <f t="shared" ref="Q5:Q14" ca="1" si="0">SUM(B5:P5)</f>
        <v>122971.78997741616</v>
      </c>
    </row>
    <row r="6" spans="1:17">
      <c r="A6" s="448" t="s">
        <v>193</v>
      </c>
      <c r="B6" s="449">
        <f>'openbare verlichting'!B8</f>
        <v>1438.62</v>
      </c>
      <c r="C6" s="449"/>
      <c r="D6" s="449"/>
      <c r="E6" s="449"/>
      <c r="F6" s="449"/>
      <c r="G6" s="449"/>
      <c r="H6" s="449"/>
      <c r="I6" s="449"/>
      <c r="J6" s="449"/>
      <c r="K6" s="449"/>
      <c r="L6" s="449"/>
      <c r="M6" s="449"/>
      <c r="N6" s="449"/>
      <c r="O6" s="449"/>
      <c r="P6" s="450"/>
      <c r="Q6" s="448">
        <f t="shared" si="0"/>
        <v>1438.62</v>
      </c>
    </row>
    <row r="7" spans="1:17">
      <c r="A7" s="448" t="s">
        <v>111</v>
      </c>
      <c r="B7" s="449">
        <f>landbouw!B8</f>
        <v>20278.358447475097</v>
      </c>
      <c r="C7" s="449">
        <f>landbouw!C8</f>
        <v>78700.5</v>
      </c>
      <c r="D7" s="449">
        <f>landbouw!D8</f>
        <v>16852.062381648109</v>
      </c>
      <c r="E7" s="449">
        <f>landbouw!E8</f>
        <v>191.03572352106909</v>
      </c>
      <c r="F7" s="449">
        <f>landbouw!F8</f>
        <v>63835.013410247309</v>
      </c>
      <c r="G7" s="449">
        <f>landbouw!G8</f>
        <v>0</v>
      </c>
      <c r="H7" s="449">
        <f>landbouw!H8</f>
        <v>0</v>
      </c>
      <c r="I7" s="449">
        <f>landbouw!I8</f>
        <v>0</v>
      </c>
      <c r="J7" s="449">
        <f>landbouw!J8</f>
        <v>2508.5315738692111</v>
      </c>
      <c r="K7" s="449">
        <f>landbouw!K8</f>
        <v>0</v>
      </c>
      <c r="L7" s="449">
        <f>landbouw!L8</f>
        <v>0</v>
      </c>
      <c r="M7" s="449">
        <f>landbouw!M8</f>
        <v>0</v>
      </c>
      <c r="N7" s="449">
        <f>landbouw!N8</f>
        <v>0</v>
      </c>
      <c r="O7" s="449">
        <f>landbouw!O8</f>
        <v>0</v>
      </c>
      <c r="P7" s="450">
        <f>landbouw!P8</f>
        <v>0</v>
      </c>
      <c r="Q7" s="448">
        <f t="shared" si="0"/>
        <v>182365.5015367608</v>
      </c>
    </row>
    <row r="8" spans="1:17">
      <c r="A8" s="448" t="s">
        <v>671</v>
      </c>
      <c r="B8" s="449">
        <f>industrie!B18</f>
        <v>82122.919282278235</v>
      </c>
      <c r="C8" s="449">
        <f>industrie!C18</f>
        <v>784.28571428571433</v>
      </c>
      <c r="D8" s="449">
        <f>industrie!D18</f>
        <v>63281.035198035745</v>
      </c>
      <c r="E8" s="449">
        <f>industrie!E18</f>
        <v>792.4785559510359</v>
      </c>
      <c r="F8" s="449">
        <f>industrie!F18</f>
        <v>17770.30326726786</v>
      </c>
      <c r="G8" s="449">
        <f>industrie!G18</f>
        <v>0</v>
      </c>
      <c r="H8" s="449">
        <f>industrie!H18</f>
        <v>0</v>
      </c>
      <c r="I8" s="449">
        <f>industrie!I18</f>
        <v>0</v>
      </c>
      <c r="J8" s="449">
        <f>industrie!J18</f>
        <v>373.99648733449777</v>
      </c>
      <c r="K8" s="449">
        <f>industrie!K18</f>
        <v>0</v>
      </c>
      <c r="L8" s="449">
        <f>industrie!L18</f>
        <v>0</v>
      </c>
      <c r="M8" s="449">
        <f>industrie!M18</f>
        <v>0</v>
      </c>
      <c r="N8" s="449">
        <f>industrie!N18</f>
        <v>3492.2259857677886</v>
      </c>
      <c r="O8" s="449">
        <f>industrie!O18</f>
        <v>0</v>
      </c>
      <c r="P8" s="450">
        <f>industrie!P18</f>
        <v>0</v>
      </c>
      <c r="Q8" s="448">
        <f t="shared" si="0"/>
        <v>168617.24449092086</v>
      </c>
    </row>
    <row r="9" spans="1:17" s="454" customFormat="1">
      <c r="A9" s="452" t="s">
        <v>568</v>
      </c>
      <c r="B9" s="453">
        <f>transport!B14</f>
        <v>11.157935754101482</v>
      </c>
      <c r="C9" s="453">
        <f>transport!C14</f>
        <v>0</v>
      </c>
      <c r="D9" s="453">
        <f>transport!D14</f>
        <v>12.959403003629188</v>
      </c>
      <c r="E9" s="453">
        <f>transport!E14</f>
        <v>922.60035977550456</v>
      </c>
      <c r="F9" s="453">
        <f>transport!F14</f>
        <v>0</v>
      </c>
      <c r="G9" s="453">
        <f>transport!G14</f>
        <v>264402.34146155074</v>
      </c>
      <c r="H9" s="453">
        <f>transport!H14</f>
        <v>32071.730809616409</v>
      </c>
      <c r="I9" s="453">
        <f>transport!I14</f>
        <v>0</v>
      </c>
      <c r="J9" s="453">
        <f>transport!J14</f>
        <v>0</v>
      </c>
      <c r="K9" s="453">
        <f>transport!K14</f>
        <v>0</v>
      </c>
      <c r="L9" s="453">
        <f>transport!L14</f>
        <v>0</v>
      </c>
      <c r="M9" s="453">
        <f>transport!M14</f>
        <v>13233.804534314198</v>
      </c>
      <c r="N9" s="453">
        <f>transport!N14</f>
        <v>0</v>
      </c>
      <c r="O9" s="453">
        <f>transport!O14</f>
        <v>0</v>
      </c>
      <c r="P9" s="453">
        <f>transport!P14</f>
        <v>0</v>
      </c>
      <c r="Q9" s="452">
        <f>SUM(B9:P9)</f>
        <v>310654.59450401459</v>
      </c>
    </row>
    <row r="10" spans="1:17">
      <c r="A10" s="448" t="s">
        <v>558</v>
      </c>
      <c r="B10" s="449">
        <f>transport!B54</f>
        <v>9.4700661800351611</v>
      </c>
      <c r="C10" s="449">
        <f>transport!C54</f>
        <v>0</v>
      </c>
      <c r="D10" s="449">
        <f>transport!D54</f>
        <v>0</v>
      </c>
      <c r="E10" s="449">
        <f>transport!E54</f>
        <v>0</v>
      </c>
      <c r="F10" s="449">
        <f>transport!F54</f>
        <v>0</v>
      </c>
      <c r="G10" s="449">
        <f>transport!G54</f>
        <v>1888.823370462336</v>
      </c>
      <c r="H10" s="449">
        <f>transport!H54</f>
        <v>0</v>
      </c>
      <c r="I10" s="449">
        <f>transport!I54</f>
        <v>0</v>
      </c>
      <c r="J10" s="449">
        <f>transport!J54</f>
        <v>0</v>
      </c>
      <c r="K10" s="449">
        <f>transport!K54</f>
        <v>0</v>
      </c>
      <c r="L10" s="449">
        <f>transport!L54</f>
        <v>0</v>
      </c>
      <c r="M10" s="449">
        <f>transport!M54</f>
        <v>83.483981264621193</v>
      </c>
      <c r="N10" s="449">
        <f>transport!N54</f>
        <v>0</v>
      </c>
      <c r="O10" s="449">
        <f>transport!O54</f>
        <v>0</v>
      </c>
      <c r="P10" s="450">
        <f>transport!P54</f>
        <v>0</v>
      </c>
      <c r="Q10" s="448">
        <f t="shared" si="0"/>
        <v>1981.7774179069925</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2056.9995171003802</v>
      </c>
      <c r="C14" s="456"/>
      <c r="D14" s="456">
        <f>'SEAP template'!E25</f>
        <v>3104.0041935960198</v>
      </c>
      <c r="E14" s="456"/>
      <c r="F14" s="456"/>
      <c r="G14" s="456"/>
      <c r="H14" s="456"/>
      <c r="I14" s="456"/>
      <c r="J14" s="456"/>
      <c r="K14" s="456"/>
      <c r="L14" s="456"/>
      <c r="M14" s="456"/>
      <c r="N14" s="456"/>
      <c r="O14" s="456"/>
      <c r="P14" s="457"/>
      <c r="Q14" s="448">
        <f t="shared" si="0"/>
        <v>5161.0037106964</v>
      </c>
    </row>
    <row r="15" spans="1:17" s="461" customFormat="1">
      <c r="A15" s="458" t="s">
        <v>562</v>
      </c>
      <c r="B15" s="459">
        <f ca="1">SUM(B4:B14)</f>
        <v>203177.79611311815</v>
      </c>
      <c r="C15" s="459">
        <f t="shared" ref="C15:Q15" ca="1" si="1">SUM(C4:C14)</f>
        <v>92341.928571428565</v>
      </c>
      <c r="D15" s="459">
        <f t="shared" ca="1" si="1"/>
        <v>220469.70513195961</v>
      </c>
      <c r="E15" s="459">
        <f t="shared" si="1"/>
        <v>3863.8227032695158</v>
      </c>
      <c r="F15" s="459">
        <f t="shared" ca="1" si="1"/>
        <v>138002.84762891295</v>
      </c>
      <c r="G15" s="459">
        <f t="shared" si="1"/>
        <v>266291.16483201308</v>
      </c>
      <c r="H15" s="459">
        <f t="shared" si="1"/>
        <v>32071.730809616409</v>
      </c>
      <c r="I15" s="459">
        <f t="shared" si="1"/>
        <v>0</v>
      </c>
      <c r="J15" s="459">
        <f t="shared" si="1"/>
        <v>3732.782425675899</v>
      </c>
      <c r="K15" s="459">
        <f t="shared" si="1"/>
        <v>0</v>
      </c>
      <c r="L15" s="459">
        <f t="shared" ca="1" si="1"/>
        <v>0</v>
      </c>
      <c r="M15" s="459">
        <f t="shared" si="1"/>
        <v>13317.288515578819</v>
      </c>
      <c r="N15" s="459">
        <f t="shared" ca="1" si="1"/>
        <v>14877.818259254531</v>
      </c>
      <c r="O15" s="459">
        <f t="shared" si="1"/>
        <v>204.79666666666668</v>
      </c>
      <c r="P15" s="459">
        <f t="shared" si="1"/>
        <v>648.26666666666665</v>
      </c>
      <c r="Q15" s="459">
        <f t="shared" ca="1" si="1"/>
        <v>988999.948324161</v>
      </c>
    </row>
    <row r="17" spans="1:17">
      <c r="A17" s="462" t="s">
        <v>563</v>
      </c>
      <c r="B17" s="766">
        <f ca="1">huishoudens!B10</f>
        <v>0.19305702535516278</v>
      </c>
      <c r="C17" s="766">
        <f ca="1">huishoudens!C10</f>
        <v>0.2291444387356594</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7515.4264402173603</v>
      </c>
      <c r="C22" s="449">
        <f t="shared" ref="C22:C32" ca="1" si="3">C4*$C$17</f>
        <v>0</v>
      </c>
      <c r="D22" s="449">
        <f t="shared" ref="D22:D32" si="4">D4*$D$17</f>
        <v>19285.228163514297</v>
      </c>
      <c r="E22" s="449">
        <f t="shared" ref="E22:E32" si="5">E4*$E$17</f>
        <v>348.90727604879635</v>
      </c>
      <c r="F22" s="449">
        <f t="shared" ref="F22:F32" si="6">F4*$F$17</f>
        <v>12511.56103143524</v>
      </c>
      <c r="G22" s="449">
        <f t="shared" ref="G22:G32" si="7">G4*$G$17</f>
        <v>0</v>
      </c>
      <c r="H22" s="449">
        <f t="shared" ref="H22:H32" si="8">H4*$H$17</f>
        <v>0</v>
      </c>
      <c r="I22" s="449">
        <f t="shared" ref="I22:I32" si="9">I4*$I$17</f>
        <v>0</v>
      </c>
      <c r="J22" s="449">
        <f t="shared" ref="J22:J32" si="10">J4*$J$17</f>
        <v>300.99004502315523</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39962.112956238852</v>
      </c>
    </row>
    <row r="23" spans="1:17">
      <c r="A23" s="448" t="s">
        <v>155</v>
      </c>
      <c r="B23" s="449">
        <f t="shared" ca="1" si="2"/>
        <v>11261.352138087652</v>
      </c>
      <c r="C23" s="449">
        <f t="shared" ca="1" si="3"/>
        <v>2946.1427837441925</v>
      </c>
      <c r="D23" s="449">
        <f t="shared" ca="1" si="4"/>
        <v>8433.1399155322833</v>
      </c>
      <c r="E23" s="449">
        <f t="shared" si="5"/>
        <v>95.492454484176449</v>
      </c>
      <c r="F23" s="449">
        <f t="shared" ca="1" si="6"/>
        <v>2546.5797325879712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25282.707024436277</v>
      </c>
    </row>
    <row r="24" spans="1:17">
      <c r="A24" s="448" t="s">
        <v>193</v>
      </c>
      <c r="B24" s="449">
        <f t="shared" ca="1" si="2"/>
        <v>277.73569781644426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277.73569781644426</v>
      </c>
    </row>
    <row r="25" spans="1:17">
      <c r="A25" s="448" t="s">
        <v>111</v>
      </c>
      <c r="B25" s="449">
        <f t="shared" ca="1" si="2"/>
        <v>3914.879560955279</v>
      </c>
      <c r="C25" s="449">
        <f t="shared" ca="1" si="3"/>
        <v>18033.781900715763</v>
      </c>
      <c r="D25" s="449">
        <f t="shared" si="4"/>
        <v>3404.1166010929182</v>
      </c>
      <c r="E25" s="449">
        <f t="shared" si="5"/>
        <v>43.365109239282681</v>
      </c>
      <c r="F25" s="449">
        <f t="shared" si="6"/>
        <v>17043.948580536031</v>
      </c>
      <c r="G25" s="449">
        <f t="shared" si="7"/>
        <v>0</v>
      </c>
      <c r="H25" s="449">
        <f t="shared" si="8"/>
        <v>0</v>
      </c>
      <c r="I25" s="449">
        <f t="shared" si="9"/>
        <v>0</v>
      </c>
      <c r="J25" s="449">
        <f t="shared" si="10"/>
        <v>888.02017714970066</v>
      </c>
      <c r="K25" s="449">
        <f t="shared" si="11"/>
        <v>0</v>
      </c>
      <c r="L25" s="449">
        <f t="shared" si="12"/>
        <v>0</v>
      </c>
      <c r="M25" s="449">
        <f t="shared" si="13"/>
        <v>0</v>
      </c>
      <c r="N25" s="449">
        <f t="shared" si="14"/>
        <v>0</v>
      </c>
      <c r="O25" s="449">
        <f t="shared" si="15"/>
        <v>0</v>
      </c>
      <c r="P25" s="450">
        <f t="shared" si="16"/>
        <v>0</v>
      </c>
      <c r="Q25" s="448">
        <f t="shared" ca="1" si="17"/>
        <v>43328.111929688974</v>
      </c>
    </row>
    <row r="26" spans="1:17">
      <c r="A26" s="448" t="s">
        <v>671</v>
      </c>
      <c r="B26" s="449">
        <f t="shared" ca="1" si="2"/>
        <v>15854.406510118775</v>
      </c>
      <c r="C26" s="449">
        <f t="shared" ca="1" si="3"/>
        <v>179.71470980839575</v>
      </c>
      <c r="D26" s="449">
        <f t="shared" si="4"/>
        <v>12782.769110003221</v>
      </c>
      <c r="E26" s="449">
        <f t="shared" si="5"/>
        <v>179.89263220088515</v>
      </c>
      <c r="F26" s="449">
        <f t="shared" si="6"/>
        <v>4744.670972360519</v>
      </c>
      <c r="G26" s="449">
        <f t="shared" si="7"/>
        <v>0</v>
      </c>
      <c r="H26" s="449">
        <f t="shared" si="8"/>
        <v>0</v>
      </c>
      <c r="I26" s="449">
        <f t="shared" si="9"/>
        <v>0</v>
      </c>
      <c r="J26" s="449">
        <f t="shared" si="10"/>
        <v>132.3947565164122</v>
      </c>
      <c r="K26" s="449">
        <f t="shared" si="11"/>
        <v>0</v>
      </c>
      <c r="L26" s="449">
        <f t="shared" si="12"/>
        <v>0</v>
      </c>
      <c r="M26" s="449">
        <f t="shared" si="13"/>
        <v>0</v>
      </c>
      <c r="N26" s="449">
        <f t="shared" si="14"/>
        <v>0</v>
      </c>
      <c r="O26" s="449">
        <f t="shared" si="15"/>
        <v>0</v>
      </c>
      <c r="P26" s="450">
        <f t="shared" si="16"/>
        <v>0</v>
      </c>
      <c r="Q26" s="448">
        <f t="shared" ca="1" si="17"/>
        <v>33873.848691008207</v>
      </c>
    </row>
    <row r="27" spans="1:17" s="454" customFormat="1">
      <c r="A27" s="452" t="s">
        <v>568</v>
      </c>
      <c r="B27" s="760">
        <f t="shared" ca="1" si="2"/>
        <v>2.1541178857908472</v>
      </c>
      <c r="C27" s="453">
        <f t="shared" ca="1" si="3"/>
        <v>0</v>
      </c>
      <c r="D27" s="453">
        <f t="shared" si="4"/>
        <v>2.6177994067330959</v>
      </c>
      <c r="E27" s="453">
        <f t="shared" si="5"/>
        <v>209.43028166903954</v>
      </c>
      <c r="F27" s="453">
        <f t="shared" si="6"/>
        <v>0</v>
      </c>
      <c r="G27" s="453">
        <f t="shared" si="7"/>
        <v>70595.425170234055</v>
      </c>
      <c r="H27" s="453">
        <f t="shared" si="8"/>
        <v>7985.8609715944858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78795.488340790107</v>
      </c>
    </row>
    <row r="28" spans="1:17">
      <c r="A28" s="448" t="s">
        <v>558</v>
      </c>
      <c r="B28" s="449">
        <f t="shared" ca="1" si="2"/>
        <v>1.8282628066341176</v>
      </c>
      <c r="C28" s="449">
        <f t="shared" ca="1" si="3"/>
        <v>0</v>
      </c>
      <c r="D28" s="449">
        <f t="shared" si="4"/>
        <v>0</v>
      </c>
      <c r="E28" s="449">
        <f t="shared" si="5"/>
        <v>0</v>
      </c>
      <c r="F28" s="449">
        <f t="shared" si="6"/>
        <v>0</v>
      </c>
      <c r="G28" s="449">
        <f t="shared" si="7"/>
        <v>504.31583991344377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506.14410272007791</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397.1182079284057</v>
      </c>
      <c r="C32" s="449">
        <f t="shared" ca="1" si="3"/>
        <v>0</v>
      </c>
      <c r="D32" s="449">
        <f t="shared" si="4"/>
        <v>627.00884710639605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1024.1270550348017</v>
      </c>
    </row>
    <row r="33" spans="1:17" s="461" customFormat="1">
      <c r="A33" s="458" t="s">
        <v>562</v>
      </c>
      <c r="B33" s="459">
        <f ca="1">SUM(B22:B32)</f>
        <v>39224.900935816338</v>
      </c>
      <c r="C33" s="459">
        <f t="shared" ref="C33:Q33" ca="1" si="18">SUM(C22:C32)</f>
        <v>21159.63939426835</v>
      </c>
      <c r="D33" s="459">
        <f t="shared" ca="1" si="18"/>
        <v>44534.880436655847</v>
      </c>
      <c r="E33" s="459">
        <f t="shared" si="18"/>
        <v>877.08775364218025</v>
      </c>
      <c r="F33" s="459">
        <f t="shared" ca="1" si="18"/>
        <v>36846.760316919761</v>
      </c>
      <c r="G33" s="459">
        <f t="shared" si="18"/>
        <v>71099.741010147496</v>
      </c>
      <c r="H33" s="459">
        <f t="shared" si="18"/>
        <v>7985.8609715944858</v>
      </c>
      <c r="I33" s="459">
        <f t="shared" si="18"/>
        <v>0</v>
      </c>
      <c r="J33" s="459">
        <f t="shared" si="18"/>
        <v>1321.4049786892681</v>
      </c>
      <c r="K33" s="459">
        <f t="shared" si="18"/>
        <v>0</v>
      </c>
      <c r="L33" s="459">
        <f t="shared" ca="1" si="18"/>
        <v>0</v>
      </c>
      <c r="M33" s="459">
        <f t="shared" si="18"/>
        <v>0</v>
      </c>
      <c r="N33" s="459">
        <f t="shared" ca="1" si="18"/>
        <v>0</v>
      </c>
      <c r="O33" s="459">
        <f t="shared" si="18"/>
        <v>0</v>
      </c>
      <c r="P33" s="459">
        <f t="shared" si="18"/>
        <v>0</v>
      </c>
      <c r="Q33" s="459">
        <f t="shared" ca="1" si="18"/>
        <v>223050.27579773375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19865.611266008218</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6894.397542266408</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2606.5927191056385</v>
      </c>
      <c r="C8" s="1015">
        <f>'SEAP template'!C76</f>
        <v>62828.357280894379</v>
      </c>
      <c r="D8" s="1015">
        <f>'SEAP template'!D76</f>
        <v>72945.244095380069</v>
      </c>
      <c r="E8" s="1015">
        <f>'SEAP template'!E76</f>
        <v>0</v>
      </c>
      <c r="F8" s="1015">
        <f>'SEAP template'!F76</f>
        <v>970.47035273093377</v>
      </c>
      <c r="G8" s="1015">
        <f>'SEAP template'!G76</f>
        <v>0</v>
      </c>
      <c r="H8" s="1015">
        <f>'SEAP template'!H76</f>
        <v>0</v>
      </c>
      <c r="I8" s="1015">
        <f>'SEAP template'!I76</f>
        <v>2911.4110581928012</v>
      </c>
      <c r="J8" s="1015">
        <f>'SEAP template'!J76</f>
        <v>155.1686113432427</v>
      </c>
      <c r="K8" s="1015">
        <f>'SEAP template'!K76</f>
        <v>0</v>
      </c>
      <c r="L8" s="1015">
        <f>'SEAP template'!L76</f>
        <v>0</v>
      </c>
      <c r="M8" s="1015">
        <f>'SEAP template'!M76</f>
        <v>0</v>
      </c>
      <c r="N8" s="1015">
        <f>'SEAP template'!N76</f>
        <v>0</v>
      </c>
      <c r="O8" s="1015">
        <f>'SEAP template'!O76</f>
        <v>0</v>
      </c>
      <c r="P8" s="1016">
        <f>'SEAP template'!Q76</f>
        <v>14994.054891445934</v>
      </c>
    </row>
    <row r="9" spans="1:16">
      <c r="A9" s="1018" t="s">
        <v>891</v>
      </c>
      <c r="B9" s="1015">
        <f>'SEAP template'!B77</f>
        <v>1341</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3831.4285714285716</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30707.601527380266</v>
      </c>
      <c r="C10" s="1019">
        <f>SUM(C4:C9)</f>
        <v>62828.357280894379</v>
      </c>
      <c r="D10" s="1019">
        <f t="shared" ref="D10:H10" si="0">SUM(D8:D9)</f>
        <v>72945.244095380069</v>
      </c>
      <c r="E10" s="1019">
        <f t="shared" si="0"/>
        <v>0</v>
      </c>
      <c r="F10" s="1019">
        <f t="shared" si="0"/>
        <v>970.47035273093377</v>
      </c>
      <c r="G10" s="1019">
        <f t="shared" si="0"/>
        <v>0</v>
      </c>
      <c r="H10" s="1019">
        <f t="shared" si="0"/>
        <v>0</v>
      </c>
      <c r="I10" s="1019">
        <f>SUM(I8:I9)</f>
        <v>2911.4110581928012</v>
      </c>
      <c r="J10" s="1019">
        <f>SUM(J8:J9)</f>
        <v>3986.5971827718145</v>
      </c>
      <c r="K10" s="1019">
        <f t="shared" ref="K10:L10" si="1">SUM(K8:K9)</f>
        <v>0</v>
      </c>
      <c r="L10" s="1019">
        <f t="shared" si="1"/>
        <v>0</v>
      </c>
      <c r="M10" s="1019">
        <f>SUM(M8:M9)</f>
        <v>0</v>
      </c>
      <c r="N10" s="1019">
        <f>SUM(N8:N9)</f>
        <v>0</v>
      </c>
      <c r="O10" s="1019">
        <f>SUM(O8:O9)</f>
        <v>0</v>
      </c>
      <c r="P10" s="1019">
        <f>SUM(P8:P9)</f>
        <v>14994.054891445934</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0.19305702535516278</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3678.4287094657916</v>
      </c>
      <c r="C17" s="1022">
        <f>'SEAP template'!C87</f>
        <v>88663.499861962788</v>
      </c>
      <c r="D17" s="1016">
        <f>'SEAP template'!D87</f>
        <v>102940.47019033419</v>
      </c>
      <c r="E17" s="1016">
        <f>'SEAP template'!E87</f>
        <v>0</v>
      </c>
      <c r="F17" s="1016">
        <f>'SEAP template'!F87</f>
        <v>1369.5296472690661</v>
      </c>
      <c r="G17" s="1016">
        <f>'SEAP template'!G87</f>
        <v>0</v>
      </c>
      <c r="H17" s="1016">
        <f>'SEAP template'!H87</f>
        <v>0</v>
      </c>
      <c r="I17" s="1016">
        <f>'SEAP template'!I87</f>
        <v>4108.5889418071984</v>
      </c>
      <c r="J17" s="1016">
        <f>'SEAP template'!J87</f>
        <v>218.97424579961438</v>
      </c>
      <c r="K17" s="1016">
        <f>'SEAP template'!K87</f>
        <v>0</v>
      </c>
      <c r="L17" s="1016">
        <f>'SEAP template'!L87</f>
        <v>0</v>
      </c>
      <c r="M17" s="1016">
        <f>'SEAP template'!M87</f>
        <v>0</v>
      </c>
      <c r="N17" s="1016">
        <f>'SEAP template'!N87</f>
        <v>0</v>
      </c>
      <c r="O17" s="1016">
        <f>'SEAP template'!O87</f>
        <v>0</v>
      </c>
      <c r="P17" s="1016">
        <f>'SEAP template'!Q87</f>
        <v>21159.63939426835</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3678.4287094657916</v>
      </c>
      <c r="C20" s="1019">
        <f>SUM(C17:C19)</f>
        <v>88663.499861962788</v>
      </c>
      <c r="D20" s="1019">
        <f t="shared" ref="D20:H20" si="2">SUM(D17:D19)</f>
        <v>102940.47019033419</v>
      </c>
      <c r="E20" s="1019">
        <f t="shared" si="2"/>
        <v>0</v>
      </c>
      <c r="F20" s="1019">
        <f t="shared" si="2"/>
        <v>1369.5296472690661</v>
      </c>
      <c r="G20" s="1019">
        <f t="shared" si="2"/>
        <v>0</v>
      </c>
      <c r="H20" s="1019">
        <f t="shared" si="2"/>
        <v>0</v>
      </c>
      <c r="I20" s="1019">
        <f>SUM(I17:I19)</f>
        <v>4108.5889418071984</v>
      </c>
      <c r="J20" s="1019">
        <f>SUM(J17:J19)</f>
        <v>218.97424579961438</v>
      </c>
      <c r="K20" s="1019">
        <f t="shared" ref="K20:L20" si="3">SUM(K17:K19)</f>
        <v>0</v>
      </c>
      <c r="L20" s="1019">
        <f t="shared" si="3"/>
        <v>0</v>
      </c>
      <c r="M20" s="1019">
        <f>SUM(M17:M19)</f>
        <v>0</v>
      </c>
      <c r="N20" s="1019">
        <f>SUM(N17:N19)</f>
        <v>0</v>
      </c>
      <c r="O20" s="1019">
        <f>SUM(O17:O19)</f>
        <v>0</v>
      </c>
      <c r="P20" s="1019">
        <f>SUM(P17:P19)</f>
        <v>21159.63939426835</v>
      </c>
    </row>
    <row r="22" spans="1:16">
      <c r="A22" s="462" t="s">
        <v>899</v>
      </c>
      <c r="B22" s="766" t="s">
        <v>893</v>
      </c>
      <c r="C22" s="766">
        <f ca="1">'EF ele_warmte'!B22</f>
        <v>0.2291444387356594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0.19305702535516278</v>
      </c>
      <c r="C17" s="498">
        <f ca="1">'EF ele_warmte'!B22</f>
        <v>0.2291444387356594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2</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3.1266666666666669</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0.19305702535516278</v>
      </c>
      <c r="C17" s="498">
        <f ca="1">'EF ele_warmte'!B22</f>
        <v>0.2291444387356594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0.19305702535516278</v>
      </c>
      <c r="C29" s="499">
        <f ca="1">'EF ele_warmte'!B22</f>
        <v>0.2291444387356594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8023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6252</v>
      </c>
      <c r="C14" s="327"/>
      <c r="D14" s="327"/>
      <c r="E14" s="327"/>
      <c r="F14" s="327"/>
    </row>
    <row r="15" spans="1:6">
      <c r="A15" s="1295" t="s">
        <v>183</v>
      </c>
      <c r="B15" s="1296">
        <v>3682</v>
      </c>
      <c r="C15" s="327"/>
      <c r="D15" s="327"/>
      <c r="E15" s="327"/>
      <c r="F15" s="327"/>
    </row>
    <row r="16" spans="1:6">
      <c r="A16" s="1295" t="s">
        <v>6</v>
      </c>
      <c r="B16" s="1296">
        <v>5655</v>
      </c>
      <c r="C16" s="327"/>
      <c r="D16" s="327"/>
      <c r="E16" s="327"/>
      <c r="F16" s="327"/>
    </row>
    <row r="17" spans="1:6">
      <c r="A17" s="1295" t="s">
        <v>7</v>
      </c>
      <c r="B17" s="1296">
        <v>903</v>
      </c>
      <c r="C17" s="327"/>
      <c r="D17" s="327"/>
      <c r="E17" s="327"/>
      <c r="F17" s="327"/>
    </row>
    <row r="18" spans="1:6">
      <c r="A18" s="1295" t="s">
        <v>8</v>
      </c>
      <c r="B18" s="1296">
        <v>3715</v>
      </c>
      <c r="C18" s="327"/>
      <c r="D18" s="327"/>
      <c r="E18" s="327"/>
      <c r="F18" s="327"/>
    </row>
    <row r="19" spans="1:6">
      <c r="A19" s="1295" t="s">
        <v>9</v>
      </c>
      <c r="B19" s="1296">
        <v>3545</v>
      </c>
      <c r="C19" s="327"/>
      <c r="D19" s="327"/>
      <c r="E19" s="327"/>
      <c r="F19" s="327"/>
    </row>
    <row r="20" spans="1:6">
      <c r="A20" s="1295" t="s">
        <v>10</v>
      </c>
      <c r="B20" s="1296">
        <v>2027</v>
      </c>
      <c r="C20" s="327"/>
      <c r="D20" s="327"/>
      <c r="E20" s="327"/>
      <c r="F20" s="327"/>
    </row>
    <row r="21" spans="1:6">
      <c r="A21" s="1295" t="s">
        <v>11</v>
      </c>
      <c r="B21" s="1296">
        <v>60722</v>
      </c>
      <c r="C21" s="327"/>
      <c r="D21" s="327"/>
      <c r="E21" s="327"/>
      <c r="F21" s="327"/>
    </row>
    <row r="22" spans="1:6">
      <c r="A22" s="1295" t="s">
        <v>12</v>
      </c>
      <c r="B22" s="1296">
        <v>157770</v>
      </c>
      <c r="C22" s="327"/>
      <c r="D22" s="327"/>
      <c r="E22" s="327"/>
      <c r="F22" s="327"/>
    </row>
    <row r="23" spans="1:6">
      <c r="A23" s="1295" t="s">
        <v>13</v>
      </c>
      <c r="B23" s="1296">
        <v>2591</v>
      </c>
      <c r="C23" s="327"/>
      <c r="D23" s="327"/>
      <c r="E23" s="327"/>
      <c r="F23" s="327"/>
    </row>
    <row r="24" spans="1:6">
      <c r="A24" s="1295" t="s">
        <v>14</v>
      </c>
      <c r="B24" s="1296">
        <v>255</v>
      </c>
      <c r="C24" s="327"/>
      <c r="D24" s="327"/>
      <c r="E24" s="327"/>
      <c r="F24" s="327"/>
    </row>
    <row r="25" spans="1:6">
      <c r="A25" s="1295" t="s">
        <v>15</v>
      </c>
      <c r="B25" s="1296">
        <v>15373</v>
      </c>
      <c r="C25" s="327"/>
      <c r="D25" s="327"/>
      <c r="E25" s="327"/>
      <c r="F25" s="327"/>
    </row>
    <row r="26" spans="1:6">
      <c r="A26" s="1295" t="s">
        <v>16</v>
      </c>
      <c r="B26" s="1296">
        <v>327</v>
      </c>
      <c r="C26" s="327"/>
      <c r="D26" s="327"/>
      <c r="E26" s="327"/>
      <c r="F26" s="327"/>
    </row>
    <row r="27" spans="1:6">
      <c r="A27" s="1295" t="s">
        <v>17</v>
      </c>
      <c r="B27" s="1296">
        <v>1321</v>
      </c>
      <c r="C27" s="327"/>
      <c r="D27" s="327"/>
      <c r="E27" s="327"/>
      <c r="F27" s="327"/>
    </row>
    <row r="28" spans="1:6" s="44" customFormat="1">
      <c r="A28" s="1297" t="s">
        <v>18</v>
      </c>
      <c r="B28" s="1298">
        <v>1145995</v>
      </c>
      <c r="C28" s="333"/>
      <c r="D28" s="333"/>
      <c r="E28" s="333"/>
      <c r="F28" s="333"/>
    </row>
    <row r="29" spans="1:6">
      <c r="A29" s="1297" t="s">
        <v>961</v>
      </c>
      <c r="B29" s="1298">
        <v>261</v>
      </c>
      <c r="C29" s="333"/>
      <c r="D29" s="333"/>
      <c r="E29" s="333"/>
      <c r="F29" s="333"/>
    </row>
    <row r="30" spans="1:6">
      <c r="A30" s="1290" t="s">
        <v>962</v>
      </c>
      <c r="B30" s="1299">
        <v>82</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3</v>
      </c>
      <c r="F35" s="1296">
        <v>330310.14366143098</v>
      </c>
    </row>
    <row r="36" spans="1:6">
      <c r="A36" s="1295" t="s">
        <v>24</v>
      </c>
      <c r="B36" s="1295" t="s">
        <v>26</v>
      </c>
      <c r="C36" s="1296">
        <v>0</v>
      </c>
      <c r="D36" s="1296">
        <v>0</v>
      </c>
      <c r="E36" s="1296">
        <v>4</v>
      </c>
      <c r="F36" s="1296">
        <v>252765.09796391</v>
      </c>
    </row>
    <row r="37" spans="1:6">
      <c r="A37" s="1295" t="s">
        <v>24</v>
      </c>
      <c r="B37" s="1295" t="s">
        <v>27</v>
      </c>
      <c r="C37" s="1296">
        <v>0</v>
      </c>
      <c r="D37" s="1296">
        <v>0</v>
      </c>
      <c r="E37" s="1296">
        <v>0</v>
      </c>
      <c r="F37" s="1296">
        <v>0</v>
      </c>
    </row>
    <row r="38" spans="1:6">
      <c r="A38" s="1295" t="s">
        <v>24</v>
      </c>
      <c r="B38" s="1295" t="s">
        <v>28</v>
      </c>
      <c r="C38" s="1296">
        <v>3</v>
      </c>
      <c r="D38" s="1296">
        <v>58593666.063978001</v>
      </c>
      <c r="E38" s="1296">
        <v>5</v>
      </c>
      <c r="F38" s="1296">
        <v>133626.10373495001</v>
      </c>
    </row>
    <row r="39" spans="1:6">
      <c r="A39" s="1295" t="s">
        <v>29</v>
      </c>
      <c r="B39" s="1295" t="s">
        <v>30</v>
      </c>
      <c r="C39" s="1296">
        <v>5303</v>
      </c>
      <c r="D39" s="1296">
        <v>105844153.605378</v>
      </c>
      <c r="E39" s="1296">
        <v>7672</v>
      </c>
      <c r="F39" s="1296">
        <v>35164685.531161197</v>
      </c>
    </row>
    <row r="40" spans="1:6">
      <c r="A40" s="1295" t="s">
        <v>29</v>
      </c>
      <c r="B40" s="1295" t="s">
        <v>28</v>
      </c>
      <c r="C40" s="1296">
        <v>0</v>
      </c>
      <c r="D40" s="1296">
        <v>0</v>
      </c>
      <c r="E40" s="1296">
        <v>0</v>
      </c>
      <c r="F40" s="1296">
        <v>0</v>
      </c>
    </row>
    <row r="41" spans="1:6">
      <c r="A41" s="1295" t="s">
        <v>31</v>
      </c>
      <c r="B41" s="1295" t="s">
        <v>32</v>
      </c>
      <c r="C41" s="1296">
        <v>33</v>
      </c>
      <c r="D41" s="1296">
        <v>933141.48556743504</v>
      </c>
      <c r="E41" s="1296">
        <v>160</v>
      </c>
      <c r="F41" s="1296">
        <v>3643379.5769674</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6</v>
      </c>
      <c r="D44" s="1296">
        <v>578097.688063298</v>
      </c>
      <c r="E44" s="1296">
        <v>11</v>
      </c>
      <c r="F44" s="1296">
        <v>1193246.60752546</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3</v>
      </c>
      <c r="D47" s="1296">
        <v>61831.002985849897</v>
      </c>
      <c r="E47" s="1296">
        <v>9</v>
      </c>
      <c r="F47" s="1296">
        <v>2709800.3833477502</v>
      </c>
    </row>
    <row r="48" spans="1:6">
      <c r="A48" s="1295" t="s">
        <v>31</v>
      </c>
      <c r="B48" s="1295" t="s">
        <v>28</v>
      </c>
      <c r="C48" s="1296">
        <v>78</v>
      </c>
      <c r="D48" s="1296">
        <v>69539780.7698915</v>
      </c>
      <c r="E48" s="1296">
        <v>113</v>
      </c>
      <c r="F48" s="1296">
        <v>70408879.563956797</v>
      </c>
    </row>
    <row r="49" spans="1:6">
      <c r="A49" s="1295" t="s">
        <v>31</v>
      </c>
      <c r="B49" s="1295" t="s">
        <v>39</v>
      </c>
      <c r="C49" s="1296">
        <v>0</v>
      </c>
      <c r="D49" s="1296">
        <v>0</v>
      </c>
      <c r="E49" s="1296">
        <v>0</v>
      </c>
      <c r="F49" s="1296">
        <v>0</v>
      </c>
    </row>
    <row r="50" spans="1:6">
      <c r="A50" s="1295" t="s">
        <v>31</v>
      </c>
      <c r="B50" s="1295" t="s">
        <v>40</v>
      </c>
      <c r="C50" s="1296">
        <v>8</v>
      </c>
      <c r="D50" s="1296">
        <v>782500.08077259106</v>
      </c>
      <c r="E50" s="1296">
        <v>14</v>
      </c>
      <c r="F50" s="1296">
        <v>3618613.1504808199</v>
      </c>
    </row>
    <row r="51" spans="1:6">
      <c r="A51" s="1295" t="s">
        <v>41</v>
      </c>
      <c r="B51" s="1295" t="s">
        <v>42</v>
      </c>
      <c r="C51" s="1296">
        <v>39</v>
      </c>
      <c r="D51" s="1296">
        <v>171227298.504527</v>
      </c>
      <c r="E51" s="1296">
        <v>434</v>
      </c>
      <c r="F51" s="1296">
        <v>19048951.8299191</v>
      </c>
    </row>
    <row r="52" spans="1:6">
      <c r="A52" s="1295" t="s">
        <v>41</v>
      </c>
      <c r="B52" s="1295" t="s">
        <v>28</v>
      </c>
      <c r="C52" s="1296">
        <v>16</v>
      </c>
      <c r="D52" s="1296">
        <v>12203876.134614101</v>
      </c>
      <c r="E52" s="1296">
        <v>40</v>
      </c>
      <c r="F52" s="1296">
        <v>1229406.6175559999</v>
      </c>
    </row>
    <row r="53" spans="1:6">
      <c r="A53" s="1295" t="s">
        <v>43</v>
      </c>
      <c r="B53" s="1295" t="s">
        <v>44</v>
      </c>
      <c r="C53" s="1296">
        <v>135</v>
      </c>
      <c r="D53" s="1296">
        <v>3104004.1935960199</v>
      </c>
      <c r="E53" s="1296">
        <v>286</v>
      </c>
      <c r="F53" s="1296">
        <v>2056999.51710038</v>
      </c>
    </row>
    <row r="54" spans="1:6">
      <c r="A54" s="1295" t="s">
        <v>45</v>
      </c>
      <c r="B54" s="1295" t="s">
        <v>46</v>
      </c>
      <c r="C54" s="1296">
        <v>0</v>
      </c>
      <c r="D54" s="1296">
        <v>0</v>
      </c>
      <c r="E54" s="1296">
        <v>3</v>
      </c>
      <c r="F54" s="1296">
        <v>1438620</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27</v>
      </c>
      <c r="D57" s="1296">
        <v>16409429.1483534</v>
      </c>
      <c r="E57" s="1296">
        <v>122</v>
      </c>
      <c r="F57" s="1296">
        <v>3325849.5446917401</v>
      </c>
    </row>
    <row r="58" spans="1:6">
      <c r="A58" s="1295" t="s">
        <v>48</v>
      </c>
      <c r="B58" s="1295" t="s">
        <v>50</v>
      </c>
      <c r="C58" s="1296">
        <v>7</v>
      </c>
      <c r="D58" s="1296">
        <v>243690.55773551</v>
      </c>
      <c r="E58" s="1296">
        <v>20</v>
      </c>
      <c r="F58" s="1296">
        <v>181741.84125588901</v>
      </c>
    </row>
    <row r="59" spans="1:6">
      <c r="A59" s="1295" t="s">
        <v>48</v>
      </c>
      <c r="B59" s="1295" t="s">
        <v>51</v>
      </c>
      <c r="C59" s="1296">
        <v>74</v>
      </c>
      <c r="D59" s="1296">
        <v>4518703.0839616796</v>
      </c>
      <c r="E59" s="1296">
        <v>180</v>
      </c>
      <c r="F59" s="1296">
        <v>8162837.3643292701</v>
      </c>
    </row>
    <row r="60" spans="1:6">
      <c r="A60" s="1295" t="s">
        <v>48</v>
      </c>
      <c r="B60" s="1295" t="s">
        <v>52</v>
      </c>
      <c r="C60" s="1296">
        <v>69</v>
      </c>
      <c r="D60" s="1296">
        <v>4095298.0678370101</v>
      </c>
      <c r="E60" s="1296">
        <v>100</v>
      </c>
      <c r="F60" s="1296">
        <v>2580271.55340428</v>
      </c>
    </row>
    <row r="61" spans="1:6">
      <c r="A61" s="1295" t="s">
        <v>48</v>
      </c>
      <c r="B61" s="1295" t="s">
        <v>53</v>
      </c>
      <c r="C61" s="1296">
        <v>146</v>
      </c>
      <c r="D61" s="1296">
        <v>10037123.4968237</v>
      </c>
      <c r="E61" s="1296">
        <v>334</v>
      </c>
      <c r="F61" s="1296">
        <v>9188067.4304795191</v>
      </c>
    </row>
    <row r="62" spans="1:6">
      <c r="A62" s="1295" t="s">
        <v>48</v>
      </c>
      <c r="B62" s="1295" t="s">
        <v>54</v>
      </c>
      <c r="C62" s="1296">
        <v>14</v>
      </c>
      <c r="D62" s="1296">
        <v>4447193.2675086604</v>
      </c>
      <c r="E62" s="1296">
        <v>12</v>
      </c>
      <c r="F62" s="1296">
        <v>1469278.2095578399</v>
      </c>
    </row>
    <row r="63" spans="1:6">
      <c r="A63" s="1295" t="s">
        <v>48</v>
      </c>
      <c r="B63" s="1295" t="s">
        <v>28</v>
      </c>
      <c r="C63" s="1296">
        <v>197</v>
      </c>
      <c r="D63" s="1296">
        <v>35040694.437548198</v>
      </c>
      <c r="E63" s="1296">
        <v>293</v>
      </c>
      <c r="F63" s="1296">
        <v>23082693.693160199</v>
      </c>
    </row>
    <row r="64" spans="1:6">
      <c r="A64" s="1295" t="s">
        <v>55</v>
      </c>
      <c r="B64" s="1295" t="s">
        <v>56</v>
      </c>
      <c r="C64" s="1296">
        <v>0</v>
      </c>
      <c r="D64" s="1296">
        <v>0</v>
      </c>
      <c r="E64" s="1296">
        <v>0</v>
      </c>
      <c r="F64" s="1296">
        <v>0</v>
      </c>
    </row>
    <row r="65" spans="1:6">
      <c r="A65" s="1295" t="s">
        <v>55</v>
      </c>
      <c r="B65" s="1295" t="s">
        <v>28</v>
      </c>
      <c r="C65" s="1296">
        <v>4</v>
      </c>
      <c r="D65" s="1296">
        <v>84544.359977525397</v>
      </c>
      <c r="E65" s="1296">
        <v>8</v>
      </c>
      <c r="F65" s="1296">
        <v>119031.438862604</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8</v>
      </c>
      <c r="D68" s="1299">
        <v>119551.72754827701</v>
      </c>
      <c r="E68" s="1299">
        <v>31</v>
      </c>
      <c r="F68" s="1299">
        <v>1281482.7010641401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81728817</v>
      </c>
      <c r="E73" s="447"/>
      <c r="F73" s="327"/>
    </row>
    <row r="74" spans="1:6">
      <c r="A74" s="1295" t="s">
        <v>63</v>
      </c>
      <c r="B74" s="1295" t="s">
        <v>755</v>
      </c>
      <c r="C74" s="1309" t="s">
        <v>749</v>
      </c>
      <c r="D74" s="1310">
        <v>9110752.7866901513</v>
      </c>
      <c r="E74" s="447"/>
      <c r="F74" s="327"/>
    </row>
    <row r="75" spans="1:6">
      <c r="A75" s="1295" t="s">
        <v>64</v>
      </c>
      <c r="B75" s="1295" t="s">
        <v>754</v>
      </c>
      <c r="C75" s="1309" t="s">
        <v>750</v>
      </c>
      <c r="D75" s="1310">
        <v>39280707</v>
      </c>
      <c r="E75" s="447"/>
      <c r="F75" s="327"/>
    </row>
    <row r="76" spans="1:6">
      <c r="A76" s="1295" t="s">
        <v>64</v>
      </c>
      <c r="B76" s="1295" t="s">
        <v>755</v>
      </c>
      <c r="C76" s="1309" t="s">
        <v>751</v>
      </c>
      <c r="D76" s="1310">
        <v>491892.78669015144</v>
      </c>
      <c r="E76" s="447"/>
      <c r="F76" s="327"/>
    </row>
    <row r="77" spans="1:6">
      <c r="A77" s="1295" t="s">
        <v>65</v>
      </c>
      <c r="B77" s="1295" t="s">
        <v>754</v>
      </c>
      <c r="C77" s="1309" t="s">
        <v>752</v>
      </c>
      <c r="D77" s="1310">
        <v>138404038</v>
      </c>
      <c r="E77" s="447"/>
      <c r="F77" s="327"/>
    </row>
    <row r="78" spans="1:6">
      <c r="A78" s="1290" t="s">
        <v>65</v>
      </c>
      <c r="B78" s="1290" t="s">
        <v>755</v>
      </c>
      <c r="C78" s="1290" t="s">
        <v>753</v>
      </c>
      <c r="D78" s="1311">
        <v>40101574</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521734.42661969713</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19865.611266008218</v>
      </c>
      <c r="C90" s="327"/>
      <c r="D90" s="327"/>
      <c r="E90" s="327"/>
      <c r="F90" s="327"/>
    </row>
    <row r="91" spans="1:6">
      <c r="A91" s="1295" t="s">
        <v>67</v>
      </c>
      <c r="B91" s="1296">
        <v>3763.8456962903579</v>
      </c>
      <c r="C91" s="327"/>
      <c r="D91" s="327"/>
      <c r="E91" s="327"/>
      <c r="F91" s="327"/>
    </row>
    <row r="92" spans="1:6">
      <c r="A92" s="1290" t="s">
        <v>68</v>
      </c>
      <c r="B92" s="1291">
        <v>3130.5518459760501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2912</v>
      </c>
      <c r="C97" s="327"/>
      <c r="D97" s="327"/>
      <c r="E97" s="327"/>
      <c r="F97" s="327"/>
    </row>
    <row r="98" spans="1:6">
      <c r="A98" s="1295" t="s">
        <v>71</v>
      </c>
      <c r="B98" s="1296">
        <v>9</v>
      </c>
      <c r="C98" s="327"/>
      <c r="D98" s="327"/>
      <c r="E98" s="327"/>
      <c r="F98" s="327"/>
    </row>
    <row r="99" spans="1:6">
      <c r="A99" s="1295" t="s">
        <v>72</v>
      </c>
      <c r="B99" s="1296">
        <v>149</v>
      </c>
      <c r="C99" s="327"/>
      <c r="D99" s="327"/>
      <c r="E99" s="327"/>
      <c r="F99" s="327"/>
    </row>
    <row r="100" spans="1:6">
      <c r="A100" s="1295" t="s">
        <v>73</v>
      </c>
      <c r="B100" s="1296">
        <v>429</v>
      </c>
      <c r="C100" s="327"/>
      <c r="D100" s="327"/>
      <c r="E100" s="327"/>
      <c r="F100" s="327"/>
    </row>
    <row r="101" spans="1:6">
      <c r="A101" s="1295" t="s">
        <v>74</v>
      </c>
      <c r="B101" s="1296">
        <v>128</v>
      </c>
      <c r="C101" s="327"/>
      <c r="D101" s="327"/>
      <c r="E101" s="327"/>
      <c r="F101" s="327"/>
    </row>
    <row r="102" spans="1:6">
      <c r="A102" s="1295" t="s">
        <v>75</v>
      </c>
      <c r="B102" s="1296">
        <v>67</v>
      </c>
      <c r="C102" s="327"/>
      <c r="D102" s="327"/>
      <c r="E102" s="327"/>
      <c r="F102" s="327"/>
    </row>
    <row r="103" spans="1:6">
      <c r="A103" s="1295" t="s">
        <v>76</v>
      </c>
      <c r="B103" s="1296">
        <v>104</v>
      </c>
      <c r="C103" s="327"/>
      <c r="D103" s="327"/>
      <c r="E103" s="327"/>
      <c r="F103" s="327"/>
    </row>
    <row r="104" spans="1:6">
      <c r="A104" s="1295" t="s">
        <v>77</v>
      </c>
      <c r="B104" s="1296">
        <v>2695</v>
      </c>
      <c r="C104" s="327"/>
      <c r="D104" s="327"/>
      <c r="E104" s="327"/>
      <c r="F104" s="327"/>
    </row>
    <row r="105" spans="1:6">
      <c r="A105" s="1290" t="s">
        <v>78</v>
      </c>
      <c r="B105" s="1299">
        <v>7</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2</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14</v>
      </c>
      <c r="C123" s="1296">
        <v>12</v>
      </c>
      <c r="D123" s="327"/>
      <c r="E123" s="327"/>
      <c r="F123" s="327"/>
    </row>
    <row r="124" spans="1:6" s="44" customFormat="1">
      <c r="A124" s="1297" t="s">
        <v>88</v>
      </c>
      <c r="B124" s="1318">
        <v>1</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118</v>
      </c>
      <c r="C129" s="327"/>
      <c r="D129" s="327"/>
      <c r="E129" s="327"/>
      <c r="F129" s="327"/>
    </row>
    <row r="130" spans="1:6">
      <c r="A130" s="1295" t="s">
        <v>290</v>
      </c>
      <c r="B130" s="1296">
        <v>0</v>
      </c>
      <c r="C130" s="327"/>
      <c r="D130" s="327"/>
      <c r="E130" s="327"/>
      <c r="F130" s="327"/>
    </row>
    <row r="131" spans="1:6">
      <c r="A131" s="1295" t="s">
        <v>291</v>
      </c>
      <c r="B131" s="1296">
        <v>4</v>
      </c>
      <c r="C131" s="327"/>
      <c r="D131" s="327"/>
      <c r="E131" s="327"/>
      <c r="F131" s="327"/>
    </row>
    <row r="132" spans="1:6">
      <c r="A132" s="1290" t="s">
        <v>292</v>
      </c>
      <c r="B132" s="1291">
        <v>15</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203177.79611311812</v>
      </c>
      <c r="C3" s="44" t="s">
        <v>169</v>
      </c>
      <c r="D3" s="44"/>
      <c r="E3" s="157"/>
      <c r="F3" s="44"/>
      <c r="G3" s="44"/>
      <c r="H3" s="44"/>
      <c r="I3" s="44"/>
      <c r="J3" s="44"/>
      <c r="K3" s="97"/>
    </row>
    <row r="4" spans="1:11">
      <c r="A4" s="354" t="s">
        <v>170</v>
      </c>
      <c r="B4" s="50">
        <f>IF(ISERROR('SEAP template'!B78+'SEAP template'!C78),0,'SEAP template'!B78+'SEAP template'!C78)</f>
        <v>93535.958808274649</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14994.054891445934</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0.19305702535516278</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21159.63939426835</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92341.928571428565</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0.2291444387356594</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1438.62</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1438.62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0.19305702535516278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277.73569781644426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35164.685531161194</v>
      </c>
      <c r="C5" s="18">
        <f>IF(ISERROR('Eigen informatie GS &amp; warmtenet'!B57),0,'Eigen informatie GS &amp; warmtenet'!B57)</f>
        <v>0</v>
      </c>
      <c r="D5" s="31">
        <f>(SUM(HH_hh_gas_kWh,HH_rest_gas_kWh)/1000)*0.902</f>
        <v>95471.426552050965</v>
      </c>
      <c r="E5" s="18">
        <f>B32*B41</f>
        <v>1537.0364583647415</v>
      </c>
      <c r="F5" s="18">
        <f>B36*B45</f>
        <v>46859.779143952204</v>
      </c>
      <c r="G5" s="19"/>
      <c r="H5" s="18"/>
      <c r="I5" s="18"/>
      <c r="J5" s="18">
        <f>B35*B44+C35*C44</f>
        <v>850.25436447218999</v>
      </c>
      <c r="K5" s="18"/>
      <c r="L5" s="18"/>
      <c r="M5" s="18"/>
      <c r="N5" s="18">
        <f>B34*B43+C34*C43</f>
        <v>11385.592273486742</v>
      </c>
      <c r="O5" s="18">
        <f>B52*B53*B54</f>
        <v>204.79666666666668</v>
      </c>
      <c r="P5" s="18">
        <f>B60*B61*B62/1000-B60*B61*B62/1000/B63</f>
        <v>572</v>
      </c>
    </row>
    <row r="6" spans="1:16">
      <c r="A6" s="17" t="s">
        <v>628</v>
      </c>
      <c r="B6" s="768">
        <f>kWh_PV_kleiner_dan_10kW</f>
        <v>3763.8456962903579</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38928.531227451553</v>
      </c>
      <c r="C8" s="22">
        <f>C5</f>
        <v>0</v>
      </c>
      <c r="D8" s="22">
        <f>D5</f>
        <v>95471.426552050965</v>
      </c>
      <c r="E8" s="22">
        <f>E5</f>
        <v>1537.0364583647415</v>
      </c>
      <c r="F8" s="22">
        <f>F5</f>
        <v>46859.779143952204</v>
      </c>
      <c r="G8" s="22"/>
      <c r="H8" s="22"/>
      <c r="I8" s="22"/>
      <c r="J8" s="22">
        <f>J5</f>
        <v>850.25436447218999</v>
      </c>
      <c r="K8" s="22"/>
      <c r="L8" s="22">
        <f>L5</f>
        <v>0</v>
      </c>
      <c r="M8" s="22">
        <f>M5</f>
        <v>0</v>
      </c>
      <c r="N8" s="22">
        <f>N5</f>
        <v>11385.592273486742</v>
      </c>
      <c r="O8" s="22">
        <f>O5</f>
        <v>204.79666666666668</v>
      </c>
      <c r="P8" s="22">
        <f>P5</f>
        <v>572</v>
      </c>
    </row>
    <row r="9" spans="1:16">
      <c r="B9" s="20"/>
      <c r="C9" s="20"/>
      <c r="D9" s="258"/>
      <c r="E9" s="20"/>
      <c r="F9" s="20"/>
      <c r="G9" s="20"/>
      <c r="H9" s="20"/>
      <c r="I9" s="20"/>
      <c r="J9" s="20"/>
      <c r="K9" s="20"/>
      <c r="L9" s="20"/>
      <c r="M9" s="20"/>
      <c r="N9" s="20"/>
      <c r="O9" s="20"/>
      <c r="P9" s="20"/>
    </row>
    <row r="10" spans="1:16">
      <c r="A10" s="25" t="s">
        <v>213</v>
      </c>
      <c r="B10" s="26">
        <f ca="1">'EF ele_warmte'!B12</f>
        <v>0.19305702535516278</v>
      </c>
      <c r="C10" s="26">
        <f ca="1">'EF ele_warmte'!B22</f>
        <v>0.2291444387356594</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7515.4264402173603</v>
      </c>
      <c r="C12" s="24">
        <f ca="1">C10*C8</f>
        <v>0</v>
      </c>
      <c r="D12" s="24">
        <f>D8*D10</f>
        <v>19285.228163514297</v>
      </c>
      <c r="E12" s="24">
        <f>E10*E8</f>
        <v>348.90727604879635</v>
      </c>
      <c r="F12" s="24">
        <f>F10*F8</f>
        <v>12511.56103143524</v>
      </c>
      <c r="G12" s="24"/>
      <c r="H12" s="24"/>
      <c r="I12" s="24"/>
      <c r="J12" s="24">
        <f>J10*J8</f>
        <v>300.99004502315523</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8023</v>
      </c>
      <c r="C26" s="37"/>
      <c r="D26" s="228"/>
    </row>
    <row r="27" spans="1:5" s="16" customFormat="1">
      <c r="A27" s="230" t="s">
        <v>654</v>
      </c>
      <c r="B27" s="38">
        <f>SUM(HH_hh_gas_aantal,HH_rest_gas_aantal)</f>
        <v>5303</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5037.8500000000004</v>
      </c>
      <c r="C31" s="35" t="s">
        <v>110</v>
      </c>
      <c r="D31" s="174"/>
    </row>
    <row r="32" spans="1:5">
      <c r="A32" s="171" t="s">
        <v>72</v>
      </c>
      <c r="B32" s="34">
        <f>IF((B21*($B$26-($B$27-0.05*$B$27)-$B$60))&lt;0,0,B21*($B$26-($B$27-0.05*$B$27)-$B$60))</f>
        <v>72.623788129114899</v>
      </c>
      <c r="C32" s="35" t="s">
        <v>110</v>
      </c>
      <c r="D32" s="174"/>
    </row>
    <row r="33" spans="1:6">
      <c r="A33" s="171" t="s">
        <v>73</v>
      </c>
      <c r="B33" s="34">
        <f>IF((B22*($B$26-($B$27-0.05*$B$27)-$B$60))&lt;0,0,B22*($B$26-($B$27-0.05*$B$27)-$B$60))</f>
        <v>488.8432701567491</v>
      </c>
      <c r="C33" s="35" t="s">
        <v>110</v>
      </c>
      <c r="D33" s="174"/>
    </row>
    <row r="34" spans="1:6">
      <c r="A34" s="171" t="s">
        <v>74</v>
      </c>
      <c r="B34" s="34">
        <f>IF((B24*($B$26-($B$27-0.05*$B$27)-$B$60))&lt;0,0,B24*($B$26-($B$27-0.05*$B$27)-$B$60))</f>
        <v>123.98095719424768</v>
      </c>
      <c r="C34" s="34">
        <f>B26*C24</f>
        <v>1640.7221748889667</v>
      </c>
      <c r="D34" s="233"/>
    </row>
    <row r="35" spans="1:6">
      <c r="A35" s="171" t="s">
        <v>76</v>
      </c>
      <c r="B35" s="34">
        <f>IF((B19*($B$26-($B$27-0.05*$B$27)-$B$60))&lt;0,0,B19*($B$26-($B$27-0.05*$B$27)-$B$60))</f>
        <v>46.092196395937236</v>
      </c>
      <c r="C35" s="34">
        <f>B35/2</f>
        <v>23.046098197968618</v>
      </c>
      <c r="D35" s="233"/>
    </row>
    <row r="36" spans="1:6">
      <c r="A36" s="171" t="s">
        <v>77</v>
      </c>
      <c r="B36" s="34">
        <f>IF((B18*($B$26-($B$27-0.05*$B$27)-$B$60))&lt;0,0,B18*($B$26-($B$27-0.05*$B$27)-$B$60))</f>
        <v>2223.6097881239498</v>
      </c>
      <c r="C36" s="35" t="s">
        <v>110</v>
      </c>
      <c r="D36" s="174"/>
    </row>
    <row r="37" spans="1:6">
      <c r="A37" s="171" t="s">
        <v>78</v>
      </c>
      <c r="B37" s="34">
        <f>B60</f>
        <v>30</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131</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30</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47990.739636878738</v>
      </c>
      <c r="C5" s="18">
        <f>IF(ISERROR('Eigen informatie GS &amp; warmtenet'!B58),0,'Eigen informatie GS &amp; warmtenet'!B58)</f>
        <v>0</v>
      </c>
      <c r="D5" s="31">
        <f>SUM(D6:D12)</f>
        <v>67462.503117910877</v>
      </c>
      <c r="E5" s="18">
        <f>SUM(E6:E12)</f>
        <v>420.67160565716495</v>
      </c>
      <c r="F5" s="18">
        <f>SUM(F6:F12)</f>
        <v>9537.7518074455838</v>
      </c>
      <c r="G5" s="19"/>
      <c r="H5" s="18"/>
      <c r="I5" s="18"/>
      <c r="J5" s="18">
        <f>SUM(J6:J12)</f>
        <v>0</v>
      </c>
      <c r="K5" s="18"/>
      <c r="L5" s="18"/>
      <c r="M5" s="18"/>
      <c r="N5" s="18">
        <f>SUM(N6:N12)</f>
        <v>3485.8580690452177</v>
      </c>
      <c r="O5" s="18">
        <f>B38*B39*B40</f>
        <v>0</v>
      </c>
      <c r="P5" s="18">
        <f>B46*B47*B48/1000-B46*B47*B48/1000/B49</f>
        <v>76.266666666666666</v>
      </c>
      <c r="R5" s="33"/>
    </row>
    <row r="6" spans="1:18">
      <c r="A6" s="33" t="s">
        <v>53</v>
      </c>
      <c r="B6" s="38">
        <f>B26</f>
        <v>9188.0674304795193</v>
      </c>
      <c r="C6" s="34"/>
      <c r="D6" s="38">
        <f>IF(ISERROR(TER_kantoor_gas_kWh/1000),0,TER_kantoor_gas_kWh/1000)*0.902</f>
        <v>9053.4853941349775</v>
      </c>
      <c r="E6" s="34">
        <f>$C$26*'E Balans VL '!I12/100/3.6*1000000</f>
        <v>15.079480852783846</v>
      </c>
      <c r="F6" s="34">
        <f>$C$26*('E Balans VL '!L12+'E Balans VL '!N12)/100/3.6*1000000</f>
        <v>1083.0569665666421</v>
      </c>
      <c r="G6" s="35"/>
      <c r="H6" s="34"/>
      <c r="I6" s="34"/>
      <c r="J6" s="34">
        <f>$C$26*('E Balans VL '!D12+'E Balans VL '!E12)/100/3.6*1000000</f>
        <v>0</v>
      </c>
      <c r="K6" s="34"/>
      <c r="L6" s="34"/>
      <c r="M6" s="34"/>
      <c r="N6" s="34">
        <f>$C$26*'E Balans VL '!Y12/100/3.6*1000000</f>
        <v>1.8564055152671302</v>
      </c>
      <c r="O6" s="34"/>
      <c r="P6" s="34"/>
      <c r="R6" s="33"/>
    </row>
    <row r="7" spans="1:18">
      <c r="A7" s="33" t="s">
        <v>52</v>
      </c>
      <c r="B7" s="38">
        <f t="shared" ref="B7:B12" si="0">B27</f>
        <v>2580.27155340428</v>
      </c>
      <c r="C7" s="34"/>
      <c r="D7" s="38">
        <f>IF(ISERROR(TER_horeca_gas_kWh/1000),0,TER_horeca_gas_kWh/1000)*0.902</f>
        <v>3693.9588571889831</v>
      </c>
      <c r="E7" s="34">
        <f>$C$27*'E Balans VL '!I9/100/3.6*1000000</f>
        <v>133.89742237717195</v>
      </c>
      <c r="F7" s="34">
        <f>$C$27*('E Balans VL '!L9+'E Balans VL '!N9)/100/3.6*1000000</f>
        <v>588.8198407411752</v>
      </c>
      <c r="G7" s="35"/>
      <c r="H7" s="34"/>
      <c r="I7" s="34"/>
      <c r="J7" s="34">
        <f>$C$27*('E Balans VL '!D9+'E Balans VL '!E9)/100/3.6*1000000</f>
        <v>0</v>
      </c>
      <c r="K7" s="34"/>
      <c r="L7" s="34"/>
      <c r="M7" s="34"/>
      <c r="N7" s="34">
        <f>$C$27*'E Balans VL '!Y9/100/3.6*1000000</f>
        <v>0.27247549357846496</v>
      </c>
      <c r="O7" s="34"/>
      <c r="P7" s="34"/>
      <c r="R7" s="33"/>
    </row>
    <row r="8" spans="1:18">
      <c r="A8" s="6" t="s">
        <v>51</v>
      </c>
      <c r="B8" s="38">
        <f t="shared" si="0"/>
        <v>8162.8373643292698</v>
      </c>
      <c r="C8" s="34"/>
      <c r="D8" s="38">
        <f>IF(ISERROR(TER_handel_gas_kWh/1000),0,TER_handel_gas_kWh/1000)*0.902</f>
        <v>4075.8701817334354</v>
      </c>
      <c r="E8" s="34">
        <f>$C$28*'E Balans VL '!I13/100/3.6*1000000</f>
        <v>43.957882286305164</v>
      </c>
      <c r="F8" s="34">
        <f>$C$28*('E Balans VL '!L13+'E Balans VL '!N13)/100/3.6*1000000</f>
        <v>1664.6451162650194</v>
      </c>
      <c r="G8" s="35"/>
      <c r="H8" s="34"/>
      <c r="I8" s="34"/>
      <c r="J8" s="34">
        <f>$C$28*('E Balans VL '!D13+'E Balans VL '!E13)/100/3.6*1000000</f>
        <v>0</v>
      </c>
      <c r="K8" s="34"/>
      <c r="L8" s="34"/>
      <c r="M8" s="34"/>
      <c r="N8" s="34">
        <f>$C$28*'E Balans VL '!Y13/100/3.6*1000000</f>
        <v>40.589479541900587</v>
      </c>
      <c r="O8" s="34"/>
      <c r="P8" s="34"/>
      <c r="R8" s="33"/>
    </row>
    <row r="9" spans="1:18">
      <c r="A9" s="33" t="s">
        <v>50</v>
      </c>
      <c r="B9" s="38">
        <f t="shared" si="0"/>
        <v>181.741841255889</v>
      </c>
      <c r="C9" s="34"/>
      <c r="D9" s="38">
        <f>IF(ISERROR(TER_gezond_gas_kWh/1000),0,TER_gezond_gas_kWh/1000)*0.902</f>
        <v>219.80888307743001</v>
      </c>
      <c r="E9" s="34">
        <f>$C$29*'E Balans VL '!I10/100/3.6*1000000</f>
        <v>0.18010823144425123</v>
      </c>
      <c r="F9" s="34">
        <f>$C$29*('E Balans VL '!L10+'E Balans VL '!N10)/100/3.6*1000000</f>
        <v>63.059180408191239</v>
      </c>
      <c r="G9" s="35"/>
      <c r="H9" s="34"/>
      <c r="I9" s="34"/>
      <c r="J9" s="34">
        <f>$C$29*('E Balans VL '!D10+'E Balans VL '!E10)/100/3.6*1000000</f>
        <v>0</v>
      </c>
      <c r="K9" s="34"/>
      <c r="L9" s="34"/>
      <c r="M9" s="34"/>
      <c r="N9" s="34">
        <f>$C$29*'E Balans VL '!Y10/100/3.6*1000000</f>
        <v>1.56605370188177</v>
      </c>
      <c r="O9" s="34"/>
      <c r="P9" s="34"/>
      <c r="R9" s="33"/>
    </row>
    <row r="10" spans="1:18">
      <c r="A10" s="33" t="s">
        <v>49</v>
      </c>
      <c r="B10" s="38">
        <f t="shared" si="0"/>
        <v>3325.84954469174</v>
      </c>
      <c r="C10" s="34"/>
      <c r="D10" s="38">
        <f>IF(ISERROR(TER_ander_gas_kWh/1000),0,TER_ander_gas_kWh/1000)*0.902</f>
        <v>14801.305091814767</v>
      </c>
      <c r="E10" s="34">
        <f>$C$30*'E Balans VL '!I14/100/3.6*1000000</f>
        <v>27.208773225473827</v>
      </c>
      <c r="F10" s="34">
        <f>$C$30*('E Balans VL '!L14+'E Balans VL '!N14)/100/3.6*1000000</f>
        <v>972.34300592506725</v>
      </c>
      <c r="G10" s="35"/>
      <c r="H10" s="34"/>
      <c r="I10" s="34"/>
      <c r="J10" s="34">
        <f>$C$30*('E Balans VL '!D14+'E Balans VL '!E14)/100/3.6*1000000</f>
        <v>0</v>
      </c>
      <c r="K10" s="34"/>
      <c r="L10" s="34"/>
      <c r="M10" s="34"/>
      <c r="N10" s="34">
        <f>$C$30*'E Balans VL '!Y14/100/3.6*1000000</f>
        <v>1918.5787989544872</v>
      </c>
      <c r="O10" s="34"/>
      <c r="P10" s="34"/>
      <c r="R10" s="33"/>
    </row>
    <row r="11" spans="1:18">
      <c r="A11" s="33" t="s">
        <v>54</v>
      </c>
      <c r="B11" s="38">
        <f t="shared" si="0"/>
        <v>1469.27820955784</v>
      </c>
      <c r="C11" s="34"/>
      <c r="D11" s="38">
        <f>IF(ISERROR(TER_onderwijs_gas_kWh/1000),0,TER_onderwijs_gas_kWh/1000)*0.902</f>
        <v>4011.3683272928115</v>
      </c>
      <c r="E11" s="34">
        <f>$C$31*'E Balans VL '!I11/100/3.6*1000000</f>
        <v>0.905601093368815</v>
      </c>
      <c r="F11" s="34">
        <f>$C$31*('E Balans VL '!L11+'E Balans VL '!N11)/100/3.6*1000000</f>
        <v>568.04675028979625</v>
      </c>
      <c r="G11" s="35"/>
      <c r="H11" s="34"/>
      <c r="I11" s="34"/>
      <c r="J11" s="34">
        <f>$C$31*('E Balans VL '!D11+'E Balans VL '!E11)/100/3.6*1000000</f>
        <v>0</v>
      </c>
      <c r="K11" s="34"/>
      <c r="L11" s="34"/>
      <c r="M11" s="34"/>
      <c r="N11" s="34">
        <f>$C$31*'E Balans VL '!Y11/100/3.6*1000000</f>
        <v>4.7792471560940513</v>
      </c>
      <c r="O11" s="34"/>
      <c r="P11" s="34"/>
      <c r="R11" s="33"/>
    </row>
    <row r="12" spans="1:18">
      <c r="A12" s="33" t="s">
        <v>255</v>
      </c>
      <c r="B12" s="38">
        <f t="shared" si="0"/>
        <v>23082.693693160199</v>
      </c>
      <c r="C12" s="34"/>
      <c r="D12" s="38">
        <f>IF(ISERROR(TER_rest_gas_kWh/1000),0,TER_rest_gas_kWh/1000)*0.902</f>
        <v>31606.706382668475</v>
      </c>
      <c r="E12" s="34">
        <f>$C$32*'E Balans VL '!I8/100/3.6*1000000</f>
        <v>199.44233759061711</v>
      </c>
      <c r="F12" s="34">
        <f>$C$32*('E Balans VL '!L8+'E Balans VL '!N8)/100/3.6*1000000</f>
        <v>4597.7809472496929</v>
      </c>
      <c r="G12" s="35"/>
      <c r="H12" s="34"/>
      <c r="I12" s="34"/>
      <c r="J12" s="34">
        <f>$C$32*('E Balans VL '!D8+'E Balans VL '!E8)/100/3.6*1000000</f>
        <v>0</v>
      </c>
      <c r="K12" s="34"/>
      <c r="L12" s="34"/>
      <c r="M12" s="34"/>
      <c r="N12" s="34">
        <f>$C$32*'E Balans VL '!Y8/100/3.6*1000000</f>
        <v>1518.2156086820085</v>
      </c>
      <c r="O12" s="34"/>
      <c r="P12" s="34"/>
      <c r="R12" s="33"/>
    </row>
    <row r="13" spans="1:18">
      <c r="A13" s="17" t="s">
        <v>495</v>
      </c>
      <c r="B13" s="246">
        <f ca="1">'lokale energieproductie'!N47+'lokale energieproductie'!N40</f>
        <v>10341</v>
      </c>
      <c r="C13" s="246">
        <f ca="1">'lokale energieproductie'!O47+'lokale energieproductie'!O40</f>
        <v>12857.142857142857</v>
      </c>
      <c r="D13" s="305">
        <f ca="1">('lokale energieproductie'!P40+'lokale energieproductie'!P47)*(-1)</f>
        <v>-25714.285714285717</v>
      </c>
      <c r="E13" s="247"/>
      <c r="F13" s="305">
        <f ca="1">('lokale energieproductie'!S40+'lokale energieproductie'!S47)*(-1)</f>
        <v>0</v>
      </c>
      <c r="G13" s="248"/>
      <c r="H13" s="247"/>
      <c r="I13" s="247"/>
      <c r="J13" s="247"/>
      <c r="K13" s="247"/>
      <c r="L13" s="305">
        <f ca="1">('lokale energieproductie'!U40+'lokale energieproductie'!T40+'lokale energieproductie'!U47+'lokale energieproductie'!T47)*(-1)</f>
        <v>0</v>
      </c>
      <c r="M13" s="247"/>
      <c r="N13" s="305">
        <f ca="1">('lokale energieproductie'!Q40+'lokale energieproductie'!R40+'lokale energieproductie'!V40+'lokale energieproductie'!Q47+'lokale energieproductie'!R47+'lokale energieproductie'!V47)*(-1)</f>
        <v>-3831.4285714285716</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58331.739636878738</v>
      </c>
      <c r="C16" s="22">
        <f t="shared" ca="1" si="1"/>
        <v>12857.142857142857</v>
      </c>
      <c r="D16" s="22">
        <f t="shared" ca="1" si="1"/>
        <v>41748.21740362516</v>
      </c>
      <c r="E16" s="22">
        <f t="shared" si="1"/>
        <v>420.67160565716495</v>
      </c>
      <c r="F16" s="22">
        <f t="shared" ca="1" si="1"/>
        <v>9537.7518074455838</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76.266666666666666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0.19305702535516278</v>
      </c>
      <c r="C18" s="26">
        <f ca="1">'EF ele_warmte'!B22</f>
        <v>0.2291444387356594</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11261.352138087652</v>
      </c>
      <c r="C20" s="24">
        <f t="shared" ref="C20:P20" ca="1" si="2">C16*C18</f>
        <v>2946.1427837441925</v>
      </c>
      <c r="D20" s="24">
        <f t="shared" ca="1" si="2"/>
        <v>8433.1399155322833</v>
      </c>
      <c r="E20" s="24">
        <f t="shared" si="2"/>
        <v>95.492454484176449</v>
      </c>
      <c r="F20" s="24">
        <f t="shared" ca="1" si="2"/>
        <v>2546.5797325879712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9188.0674304795193</v>
      </c>
      <c r="C26" s="40">
        <f>IF(ISERROR(B26*3.6/1000000/'E Balans VL '!Z12*100),0,B26*3.6/1000000/'E Balans VL '!Z12*100)</f>
        <v>0.19523984384930382</v>
      </c>
      <c r="D26" s="236" t="s">
        <v>691</v>
      </c>
      <c r="F26" s="6"/>
    </row>
    <row r="27" spans="1:18">
      <c r="A27" s="231" t="s">
        <v>52</v>
      </c>
      <c r="B27" s="34">
        <f>IF(ISERROR(TER_horeca_ele_kWh/1000),0,TER_horeca_ele_kWh/1000)</f>
        <v>2580.27155340428</v>
      </c>
      <c r="C27" s="40">
        <f>IF(ISERROR(B27*3.6/1000000/'E Balans VL '!Z9*100),0,B27*3.6/1000000/'E Balans VL '!Z9*100)</f>
        <v>0.20308732440630931</v>
      </c>
      <c r="D27" s="236" t="s">
        <v>691</v>
      </c>
      <c r="F27" s="6"/>
    </row>
    <row r="28" spans="1:18">
      <c r="A28" s="171" t="s">
        <v>51</v>
      </c>
      <c r="B28" s="34">
        <f>IF(ISERROR(TER_handel_ele_kWh/1000),0,TER_handel_ele_kWh/1000)</f>
        <v>8162.8373643292698</v>
      </c>
      <c r="C28" s="40">
        <f>IF(ISERROR(B28*3.6/1000000/'E Balans VL '!Z13*100),0,B28*3.6/1000000/'E Balans VL '!Z13*100)</f>
        <v>0.22864544315295005</v>
      </c>
      <c r="D28" s="236" t="s">
        <v>691</v>
      </c>
      <c r="F28" s="6"/>
    </row>
    <row r="29" spans="1:18">
      <c r="A29" s="231" t="s">
        <v>50</v>
      </c>
      <c r="B29" s="34">
        <f>IF(ISERROR(TER_gezond_ele_kWh/1000),0,TER_gezond_ele_kWh/1000)</f>
        <v>181.741841255889</v>
      </c>
      <c r="C29" s="40">
        <f>IF(ISERROR(B29*3.6/1000000/'E Balans VL '!Z10*100),0,B29*3.6/1000000/'E Balans VL '!Z10*100)</f>
        <v>2.325027714857374E-2</v>
      </c>
      <c r="D29" s="236" t="s">
        <v>691</v>
      </c>
      <c r="F29" s="6"/>
    </row>
    <row r="30" spans="1:18">
      <c r="A30" s="231" t="s">
        <v>49</v>
      </c>
      <c r="B30" s="34">
        <f>IF(ISERROR(TER_ander_ele_kWh/1000),0,TER_ander_ele_kWh/1000)</f>
        <v>3325.84954469174</v>
      </c>
      <c r="C30" s="40">
        <f>IF(ISERROR(B30*3.6/1000000/'E Balans VL '!Z14*100),0,B30*3.6/1000000/'E Balans VL '!Z14*100)</f>
        <v>0.24874552184512838</v>
      </c>
      <c r="D30" s="236" t="s">
        <v>691</v>
      </c>
      <c r="F30" s="6"/>
    </row>
    <row r="31" spans="1:18">
      <c r="A31" s="231" t="s">
        <v>54</v>
      </c>
      <c r="B31" s="34">
        <f>IF(ISERROR(TER_onderwijs_ele_kWh/1000),0,TER_onderwijs_ele_kWh/1000)</f>
        <v>1469.27820955784</v>
      </c>
      <c r="C31" s="40">
        <f>IF(ISERROR(B31*3.6/1000000/'E Balans VL '!Z11*100),0,B31*3.6/1000000/'E Balans VL '!Z11*100)</f>
        <v>0.31023999714988981</v>
      </c>
      <c r="D31" s="236" t="s">
        <v>691</v>
      </c>
    </row>
    <row r="32" spans="1:18">
      <c r="A32" s="231" t="s">
        <v>255</v>
      </c>
      <c r="B32" s="34">
        <f>IF(ISERROR(TER_rest_ele_kWh/1000),0,TER_rest_ele_kWh/1000)</f>
        <v>23082.693693160199</v>
      </c>
      <c r="C32" s="40">
        <f>IF(ISERROR(B32*3.6/1000000/'E Balans VL '!Z8*100),0,B32*3.6/1000000/'E Balans VL '!Z8*100)</f>
        <v>0.19015366253160634</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4</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81573.919282278235</v>
      </c>
      <c r="C5" s="18">
        <f>IF(ISERROR('Eigen informatie GS &amp; warmtenet'!B59),0,'Eigen informatie GS &amp; warmtenet'!B59)</f>
        <v>0</v>
      </c>
      <c r="D5" s="31">
        <f>SUM(D6:D15)</f>
        <v>64849.606626607172</v>
      </c>
      <c r="E5" s="18">
        <f>SUM(E6:E15)</f>
        <v>792.4785559510359</v>
      </c>
      <c r="F5" s="18">
        <f>SUM(F6:F15)</f>
        <v>17770.30326726786</v>
      </c>
      <c r="G5" s="19"/>
      <c r="H5" s="18"/>
      <c r="I5" s="18"/>
      <c r="J5" s="18">
        <f>SUM(J6:J15)</f>
        <v>373.99648733449777</v>
      </c>
      <c r="K5" s="18"/>
      <c r="L5" s="18"/>
      <c r="M5" s="18"/>
      <c r="N5" s="18">
        <f>SUM(N6:N15)</f>
        <v>3492.2259857677886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1193.2466075254599</v>
      </c>
      <c r="C8" s="34"/>
      <c r="D8" s="38">
        <f>IF( ISERROR(IND_metaal_Gas_kWH/1000),0,IND_metaal_Gas_kWH/1000)*0.902</f>
        <v>521.44411463309484</v>
      </c>
      <c r="E8" s="34">
        <f>C30*'E Balans VL '!I18/100/3.6*1000000</f>
        <v>10.866681816953802</v>
      </c>
      <c r="F8" s="34">
        <f>C30*'E Balans VL '!L18/100/3.6*1000000+C30*'E Balans VL '!N18/100/3.6*1000000</f>
        <v>157.38016586223156</v>
      </c>
      <c r="G8" s="35"/>
      <c r="H8" s="34"/>
      <c r="I8" s="34"/>
      <c r="J8" s="41">
        <f>C30*'E Balans VL '!D18/100/3.6*1000000+C30*'E Balans VL '!E18/100/3.6*1000000</f>
        <v>19.567511831730016</v>
      </c>
      <c r="K8" s="34"/>
      <c r="L8" s="34"/>
      <c r="M8" s="34"/>
      <c r="N8" s="34">
        <f>C30*'E Balans VL '!Y18/100/3.6*1000000</f>
        <v>4.1007145740661102</v>
      </c>
      <c r="O8" s="34"/>
      <c r="P8" s="34"/>
      <c r="R8" s="33"/>
    </row>
    <row r="9" spans="1:18">
      <c r="A9" s="6" t="s">
        <v>32</v>
      </c>
      <c r="B9" s="38">
        <f t="shared" si="0"/>
        <v>3643.3795769674002</v>
      </c>
      <c r="C9" s="34"/>
      <c r="D9" s="38">
        <f>IF( ISERROR(IND_andere_gas_kWh/1000),0,IND_andere_gas_kWh/1000)*0.902</f>
        <v>841.69361998182637</v>
      </c>
      <c r="E9" s="34">
        <f>C31*'E Balans VL '!I19/100/3.6*1000000</f>
        <v>21.059278412915607</v>
      </c>
      <c r="F9" s="34">
        <f>C31*'E Balans VL '!L19/100/3.6*1000000+C31*'E Balans VL '!N19/100/3.6*1000000</f>
        <v>2898.4837659654409</v>
      </c>
      <c r="G9" s="35"/>
      <c r="H9" s="34"/>
      <c r="I9" s="34"/>
      <c r="J9" s="41">
        <f>C31*'E Balans VL '!D19/100/3.6*1000000+C31*'E Balans VL '!E19/100/3.6*1000000</f>
        <v>0.34462323846702553</v>
      </c>
      <c r="K9" s="34"/>
      <c r="L9" s="34"/>
      <c r="M9" s="34"/>
      <c r="N9" s="34">
        <f>C31*'E Balans VL '!Y19/100/3.6*1000000</f>
        <v>276.04113933784896</v>
      </c>
      <c r="O9" s="34"/>
      <c r="P9" s="34"/>
      <c r="R9" s="33"/>
    </row>
    <row r="10" spans="1:18">
      <c r="A10" s="6" t="s">
        <v>40</v>
      </c>
      <c r="B10" s="38">
        <f t="shared" si="0"/>
        <v>3618.61315048082</v>
      </c>
      <c r="C10" s="34"/>
      <c r="D10" s="38">
        <f>IF( ISERROR(IND_voed_gas_kWh/1000),0,IND_voed_gas_kWh/1000)*0.902</f>
        <v>705.81507285687724</v>
      </c>
      <c r="E10" s="34">
        <f>C32*'E Balans VL '!I20/100/3.6*1000000</f>
        <v>35.58043410877751</v>
      </c>
      <c r="F10" s="34">
        <f>C32*'E Balans VL '!L20/100/3.6*1000000+C32*'E Balans VL '!N20/100/3.6*1000000</f>
        <v>401.89422283153897</v>
      </c>
      <c r="G10" s="35"/>
      <c r="H10" s="34"/>
      <c r="I10" s="34"/>
      <c r="J10" s="41">
        <f>C32*'E Balans VL '!D20/100/3.6*1000000+C32*'E Balans VL '!E20/100/3.6*1000000</f>
        <v>1.4262597177567084E-2</v>
      </c>
      <c r="K10" s="34"/>
      <c r="L10" s="34"/>
      <c r="M10" s="34"/>
      <c r="N10" s="34">
        <f>C32*'E Balans VL '!Y20/100/3.6*1000000</f>
        <v>53.58314888327358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2709.8003833477501</v>
      </c>
      <c r="C13" s="34"/>
      <c r="D13" s="38">
        <f>IF( ISERROR(IND_papier_gas_kWh/1000),0,IND_papier_gas_kWh/1000)*0.902</f>
        <v>55.771564693236613</v>
      </c>
      <c r="E13" s="34">
        <f>C35*'E Balans VL '!I23/100/3.6*1000000</f>
        <v>92.299730013363316</v>
      </c>
      <c r="F13" s="34">
        <f>C35*'E Balans VL '!L23/100/3.6*1000000+C35*'E Balans VL '!N23/100/3.6*1000000</f>
        <v>447.59542568302652</v>
      </c>
      <c r="G13" s="35"/>
      <c r="H13" s="34"/>
      <c r="I13" s="34"/>
      <c r="J13" s="41">
        <f>C35*'E Balans VL '!D23/100/3.6*1000000+C35*'E Balans VL '!E23/100/3.6*1000000</f>
        <v>0</v>
      </c>
      <c r="K13" s="34"/>
      <c r="L13" s="34"/>
      <c r="M13" s="34"/>
      <c r="N13" s="34">
        <f>C35*'E Balans VL '!Y23/100/3.6*1000000</f>
        <v>997.13386985916657</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70408.879563956798</v>
      </c>
      <c r="C15" s="34"/>
      <c r="D15" s="38">
        <f>IF( ISERROR(IND_rest_gas_kWh/1000),0,IND_rest_gas_kWh/1000)*0.902</f>
        <v>62724.882254442135</v>
      </c>
      <c r="E15" s="34">
        <f>C37*'E Balans VL '!I15/100/3.6*1000000</f>
        <v>632.67243159902569</v>
      </c>
      <c r="F15" s="34">
        <f>C37*'E Balans VL '!L15/100/3.6*1000000+C37*'E Balans VL '!N15/100/3.6*1000000</f>
        <v>13864.949686925624</v>
      </c>
      <c r="G15" s="35"/>
      <c r="H15" s="34"/>
      <c r="I15" s="34"/>
      <c r="J15" s="41">
        <f>C37*'E Balans VL '!D15/100/3.6*1000000+C37*'E Balans VL '!E15/100/3.6*1000000</f>
        <v>354.07008966712317</v>
      </c>
      <c r="K15" s="34"/>
      <c r="L15" s="34"/>
      <c r="M15" s="34"/>
      <c r="N15" s="34">
        <f>C37*'E Balans VL '!Y15/100/3.6*1000000</f>
        <v>2161.3671131134333</v>
      </c>
      <c r="O15" s="34"/>
      <c r="P15" s="34"/>
      <c r="R15" s="33"/>
    </row>
    <row r="16" spans="1:18">
      <c r="A16" s="17" t="s">
        <v>495</v>
      </c>
      <c r="B16" s="246">
        <f>'lokale energieproductie'!N46+'lokale energieproductie'!N39</f>
        <v>549</v>
      </c>
      <c r="C16" s="246">
        <f>'lokale energieproductie'!O46+'lokale energieproductie'!O39</f>
        <v>784.28571428571433</v>
      </c>
      <c r="D16" s="305">
        <f>('lokale energieproductie'!P39+'lokale energieproductie'!P46)*(-1)</f>
        <v>-1568.5714285714287</v>
      </c>
      <c r="E16" s="247"/>
      <c r="F16" s="305">
        <f>('lokale energieproductie'!S39+'lokale energieproductie'!S46)*(-1)</f>
        <v>0</v>
      </c>
      <c r="G16" s="248"/>
      <c r="H16" s="247"/>
      <c r="I16" s="247"/>
      <c r="J16" s="247"/>
      <c r="K16" s="247"/>
      <c r="L16" s="305">
        <f>('lokale energieproductie'!T39+'lokale energieproductie'!U39+'lokale energieproductie'!T46+'lokale energieproductie'!U46)*(-1)</f>
        <v>0</v>
      </c>
      <c r="M16" s="247"/>
      <c r="N16" s="305">
        <f>('lokale energieproductie'!Q39+'lokale energieproductie'!R39+'lokale energieproductie'!V39+'lokale energieproductie'!Q46+'lokale energieproductie'!R46+'lokale energieproductie'!V46)*(-1)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82122.919282278235</v>
      </c>
      <c r="C18" s="22">
        <f>C5+C16</f>
        <v>784.28571428571433</v>
      </c>
      <c r="D18" s="22">
        <f>MAX((D5+D16),0)</f>
        <v>63281.035198035745</v>
      </c>
      <c r="E18" s="22">
        <f>MAX((E5+E16),0)</f>
        <v>792.4785559510359</v>
      </c>
      <c r="F18" s="22">
        <f>MAX((F5+F16),0)</f>
        <v>17770.30326726786</v>
      </c>
      <c r="G18" s="22"/>
      <c r="H18" s="22"/>
      <c r="I18" s="22"/>
      <c r="J18" s="22">
        <f>MAX((J5+J16),0)</f>
        <v>373.99648733449777</v>
      </c>
      <c r="K18" s="22"/>
      <c r="L18" s="22">
        <f>MAX((L5+L16),0)</f>
        <v>0</v>
      </c>
      <c r="M18" s="22"/>
      <c r="N18" s="22">
        <f>MAX((N5+N16),0)</f>
        <v>3492.2259857677886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0.19305702535516278</v>
      </c>
      <c r="C20" s="26">
        <f ca="1">'EF ele_warmte'!B22</f>
        <v>0.2291444387356594</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15854.406510118775</v>
      </c>
      <c r="C22" s="24">
        <f ca="1">C18*C20</f>
        <v>179.71470980839575</v>
      </c>
      <c r="D22" s="24">
        <f>D18*D20</f>
        <v>12782.769110003221</v>
      </c>
      <c r="E22" s="24">
        <f>E18*E20</f>
        <v>179.89263220088515</v>
      </c>
      <c r="F22" s="24">
        <f>F18*F20</f>
        <v>4744.670972360519</v>
      </c>
      <c r="G22" s="24"/>
      <c r="H22" s="24"/>
      <c r="I22" s="24"/>
      <c r="J22" s="24">
        <f>J18*J20</f>
        <v>132.3947565164122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1193.2466075254599</v>
      </c>
      <c r="C30" s="40">
        <f>IF(ISERROR(B30*3.6/1000000/'E Balans VL '!Z18*100),0,B30*3.6/1000000/'E Balans VL '!Z18*100)</f>
        <v>6.6396194537186551E-2</v>
      </c>
      <c r="D30" s="236" t="s">
        <v>691</v>
      </c>
    </row>
    <row r="31" spans="1:18">
      <c r="A31" s="6" t="s">
        <v>32</v>
      </c>
      <c r="B31" s="38">
        <f>IF( ISERROR(IND_ander_ele_kWh/1000),0,IND_ander_ele_kWh/1000)</f>
        <v>3643.3795769674002</v>
      </c>
      <c r="C31" s="40">
        <f>IF(ISERROR(B31*3.6/1000000/'E Balans VL '!Z19*100),0,B31*3.6/1000000/'E Balans VL '!Z19*100)</f>
        <v>0.1693711479155347</v>
      </c>
      <c r="D31" s="236" t="s">
        <v>691</v>
      </c>
    </row>
    <row r="32" spans="1:18">
      <c r="A32" s="171" t="s">
        <v>40</v>
      </c>
      <c r="B32" s="38">
        <f>IF( ISERROR(IND_voed_ele_kWh/1000),0,IND_voed_ele_kWh/1000)</f>
        <v>3618.61315048082</v>
      </c>
      <c r="C32" s="40">
        <f>IF(ISERROR(B32*3.6/1000000/'E Balans VL '!Z20*100),0,B32*3.6/1000000/'E Balans VL '!Z20*100)</f>
        <v>0.1279106667707384</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2709.8003833477501</v>
      </c>
      <c r="C35" s="40">
        <f>IF(ISERROR(B35*3.6/1000000/'E Balans VL '!Z22*100),0,B35*3.6/1000000/'E Balans VL '!Z22*100)</f>
        <v>0.54459346326365843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70408.879563956798</v>
      </c>
      <c r="C37" s="40">
        <f>IF(ISERROR(B37*3.6/1000000/'E Balans VL '!Z15*100),0,B37*3.6/1000000/'E Balans VL '!Z15*100)</f>
        <v>0.53169105035080466</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20278.358447475097</v>
      </c>
      <c r="C5" s="18">
        <f>'Eigen informatie GS &amp; warmtenet'!B60</f>
        <v>0</v>
      </c>
      <c r="D5" s="31">
        <f>IF(ISERROR(SUM(LB_lb_gas_kWh,LB_rest_gas_kWh)/1000),0,SUM(LB_lb_gas_kWh,LB_rest_gas_kWh)/1000)*0.902</f>
        <v>165454.91952450527</v>
      </c>
      <c r="E5" s="18">
        <f>B17*'E Balans VL '!I25/3.6*1000000/100</f>
        <v>191.03572352106909</v>
      </c>
      <c r="F5" s="18">
        <f>B17*('E Balans VL '!L25/3.6*1000000+'E Balans VL '!N25/3.6*1000000)/100</f>
        <v>66175.013410247309</v>
      </c>
      <c r="G5" s="19"/>
      <c r="H5" s="18"/>
      <c r="I5" s="18"/>
      <c r="J5" s="18">
        <f>('E Balans VL '!D25+'E Balans VL '!E25)/3.6*1000000*landbouw!B17/100</f>
        <v>2508.5315738692111</v>
      </c>
      <c r="K5" s="18"/>
      <c r="L5" s="18">
        <f>L6*(-1)</f>
        <v>7020</v>
      </c>
      <c r="M5" s="18"/>
      <c r="N5" s="18">
        <f>N6*(-1)</f>
        <v>374.14285714285711</v>
      </c>
      <c r="O5" s="18"/>
      <c r="P5" s="18"/>
      <c r="R5" s="33"/>
    </row>
    <row r="6" spans="1:18">
      <c r="A6" s="17" t="s">
        <v>495</v>
      </c>
      <c r="B6" s="18" t="s">
        <v>210</v>
      </c>
      <c r="C6" s="18">
        <f>'lokale energieproductie'!O48+'lokale energieproductie'!O41</f>
        <v>78700.5</v>
      </c>
      <c r="D6" s="305">
        <f>('lokale energieproductie'!P41+'lokale energieproductie'!P48)*(-1)</f>
        <v>-148602.85714285716</v>
      </c>
      <c r="E6" s="247"/>
      <c r="F6" s="305">
        <f>('lokale energieproductie'!S41+'lokale energieproductie'!S48)*(-1)</f>
        <v>-2340</v>
      </c>
      <c r="G6" s="248"/>
      <c r="H6" s="247"/>
      <c r="I6" s="247"/>
      <c r="J6" s="247"/>
      <c r="K6" s="247"/>
      <c r="L6" s="305">
        <f>('lokale energieproductie'!T41+'lokale energieproductie'!U41+'lokale energieproductie'!T48+'lokale energieproductie'!U48)*(-1)</f>
        <v>-7020</v>
      </c>
      <c r="M6" s="247"/>
      <c r="N6" s="305">
        <f>('lokale energieproductie'!V41+'lokale energieproductie'!R41+'lokale energieproductie'!Q41+'lokale energieproductie'!Q48+'lokale energieproductie'!R48+'lokale energieproductie'!V48)*(-1)</f>
        <v>-374.14285714285711</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20278.358447475097</v>
      </c>
      <c r="C8" s="22">
        <f>C5+C6</f>
        <v>78700.5</v>
      </c>
      <c r="D8" s="22">
        <f>MAX((D5+D6),0)</f>
        <v>16852.062381648109</v>
      </c>
      <c r="E8" s="22">
        <f>MAX((E5+E6),0)</f>
        <v>191.03572352106909</v>
      </c>
      <c r="F8" s="22">
        <f>MAX((F5+F6),0)</f>
        <v>63835.013410247309</v>
      </c>
      <c r="G8" s="22"/>
      <c r="H8" s="22"/>
      <c r="I8" s="22"/>
      <c r="J8" s="22">
        <f>MAX((J5+J6),0)</f>
        <v>2508.5315738692111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0.19305702535516278</v>
      </c>
      <c r="C10" s="32">
        <f ca="1">'EF ele_warmte'!B22</f>
        <v>0.2291444387356594</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3914.879560955279</v>
      </c>
      <c r="C12" s="24">
        <f ca="1">C8*C10</f>
        <v>18033.781900715763</v>
      </c>
      <c r="D12" s="24">
        <f>D8*D10</f>
        <v>3404.1166010929182</v>
      </c>
      <c r="E12" s="24">
        <f>E8*E10</f>
        <v>43.365109239282681</v>
      </c>
      <c r="F12" s="24">
        <f>F8*F10</f>
        <v>17043.948580536031</v>
      </c>
      <c r="G12" s="24"/>
      <c r="H12" s="24"/>
      <c r="I12" s="24"/>
      <c r="J12" s="24">
        <f>J8*J10</f>
        <v>888.02017714970066</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2.7453656959786441</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1513.3783072030617</v>
      </c>
      <c r="C26" s="246">
        <f>B26*'GWP N2O_CH4'!B5</f>
        <v>31780.944451264295</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1311.5756952992685</v>
      </c>
      <c r="C27" s="246">
        <f>B27*'GWP N2O_CH4'!B5</f>
        <v>27543.089601284639</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27.096867678980107</v>
      </c>
      <c r="C28" s="246">
        <f>B28*'GWP N2O_CH4'!B4</f>
        <v>8400.0289804838339</v>
      </c>
      <c r="D28" s="51"/>
    </row>
    <row r="29" spans="1:4">
      <c r="A29" s="42" t="s">
        <v>272</v>
      </c>
      <c r="B29" s="246">
        <f>B34*'ha_N2O bodem landbouw'!B4</f>
        <v>34.482061068086196</v>
      </c>
      <c r="C29" s="246">
        <f>B29*'GWP N2O_CH4'!B4</f>
        <v>10689.438931106721</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9.3090709838997143E-3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4.0168568714765337E-5</v>
      </c>
      <c r="C5" s="435" t="s">
        <v>210</v>
      </c>
      <c r="D5" s="420">
        <f>SUM(D6:D11)</f>
        <v>4.6653850813065077E-5</v>
      </c>
      <c r="E5" s="420">
        <f>SUM(E6:E11)</f>
        <v>3.3213612951918164E-3</v>
      </c>
      <c r="F5" s="433" t="s">
        <v>210</v>
      </c>
      <c r="G5" s="420">
        <f>SUM(G6:G11)</f>
        <v>0.95184842926158275</v>
      </c>
      <c r="H5" s="420">
        <f>SUM(H6:H11)</f>
        <v>0.11545823091461907</v>
      </c>
      <c r="I5" s="435" t="s">
        <v>210</v>
      </c>
      <c r="J5" s="435" t="s">
        <v>210</v>
      </c>
      <c r="K5" s="435" t="s">
        <v>210</v>
      </c>
      <c r="L5" s="435" t="s">
        <v>210</v>
      </c>
      <c r="M5" s="420">
        <f>SUM(M6:M11)</f>
        <v>4.7641696323531116E-2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1.1474996862405206E-5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1.336471624183E-5</v>
      </c>
      <c r="E6" s="423">
        <f>vkm_GW_PW*SUMIFS(TableVerdeelsleutelVkm[LPG],TableVerdeelsleutelVkm[Voertuigtype],"Lichte voertuigen")*SUMIFS(TableECFTransport[EnergieConsumptieFactor (PJ per km)],TableECFTransport[Index],CONCATENATE($A6,"_LPG_LPG"))</f>
        <v>8.6706844637395345E-4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0.13527897936062755</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3.2602212622539525E-2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7.5126942744522737E-3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5.3329539176971149E-7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8.8218827014268378E-2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2.3672254909763485E-6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3.9254500160904472E-3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5.7583333499031185E-6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1.095334084075448E-5</v>
      </c>
      <c r="E8" s="423">
        <f>vkm_NGW_PW*SUMIFS(TableVerdeelsleutelVkm[LPG],TableVerdeelsleutelVkm[Voertuigtype],"Lichte voertuigen")*SUMIFS(TableECFTransport[EnergieConsumptieFactor (PJ per km)],TableECFTransport[Index],CONCATENATE($A8,"_LPG_LPG"))</f>
        <v>6.7329047878526642E-4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9.8891398365035868E-2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2.5470440959683198E-2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5.5669301575995873E-3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2.8792808072879261E-8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6.1077674777920577E-3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1.5426672735622977E-7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2.7177528714880769E-4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2.0025815771909702E-5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2.2335793730480598E-5</v>
      </c>
      <c r="E10" s="423">
        <f>vkm_SW_PW*SUMIFS(TableVerdeelsleutelVkm[LPG],TableVerdeelsleutelVkm[Voertuigtype],"Lichte voertuigen")*SUMIFS(TableECFTransport[EnergieConsumptieFactor (PJ per km)],TableECFTransport[Index],CONCATENATE($A10,"_LPG_LPG"))</f>
        <v>1.7810023700325962E-3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0.25962375311412655</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5.737233133595053E-2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1.4180106134728598E-2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2.3473345307047226E-6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0.36372770392973242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1.0724504227486347E-5</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1.6184740453511395E-2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11.157935754101482</v>
      </c>
      <c r="C14" s="22"/>
      <c r="D14" s="22">
        <f t="shared" ref="D14:M14" si="0">((D5)*10^9/3600)+D12</f>
        <v>12.959403003629188</v>
      </c>
      <c r="E14" s="22">
        <f t="shared" si="0"/>
        <v>922.60035977550456</v>
      </c>
      <c r="F14" s="22"/>
      <c r="G14" s="22">
        <f t="shared" si="0"/>
        <v>264402.34146155074</v>
      </c>
      <c r="H14" s="22">
        <f t="shared" si="0"/>
        <v>32071.730809616409</v>
      </c>
      <c r="I14" s="22"/>
      <c r="J14" s="22"/>
      <c r="K14" s="22"/>
      <c r="L14" s="22"/>
      <c r="M14" s="22">
        <f t="shared" si="0"/>
        <v>13233.804534314198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0.19305702535516278</v>
      </c>
      <c r="C16" s="57">
        <f ca="1">'EF ele_warmte'!B22</f>
        <v>0.2291444387356594</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2.1541178857908472</v>
      </c>
      <c r="C18" s="24"/>
      <c r="D18" s="24">
        <f t="shared" ref="D18:M18" si="1">D14*D16</f>
        <v>2.6177994067330959</v>
      </c>
      <c r="E18" s="24">
        <f t="shared" si="1"/>
        <v>209.43028166903954</v>
      </c>
      <c r="F18" s="24"/>
      <c r="G18" s="24">
        <f t="shared" si="1"/>
        <v>70595.425170234055</v>
      </c>
      <c r="H18" s="24">
        <f t="shared" si="1"/>
        <v>7985.8609715944858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3.4092238248126582E-5</v>
      </c>
      <c r="C50" s="316">
        <f t="shared" ref="C50:P50" si="2">SUM(C51:C52)</f>
        <v>0</v>
      </c>
      <c r="D50" s="316">
        <f t="shared" si="2"/>
        <v>0</v>
      </c>
      <c r="E50" s="316">
        <f t="shared" si="2"/>
        <v>0</v>
      </c>
      <c r="F50" s="316">
        <f t="shared" si="2"/>
        <v>0</v>
      </c>
      <c r="G50" s="316">
        <f t="shared" si="2"/>
        <v>6.7997641336644101E-3</v>
      </c>
      <c r="H50" s="316">
        <f t="shared" si="2"/>
        <v>0</v>
      </c>
      <c r="I50" s="316">
        <f t="shared" si="2"/>
        <v>0</v>
      </c>
      <c r="J50" s="316">
        <f t="shared" si="2"/>
        <v>0</v>
      </c>
      <c r="K50" s="316">
        <f t="shared" si="2"/>
        <v>0</v>
      </c>
      <c r="L50" s="316">
        <f t="shared" si="2"/>
        <v>0</v>
      </c>
      <c r="M50" s="316">
        <f t="shared" si="2"/>
        <v>3.005423325526363E-4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3.4092238248126582E-5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6.7997641336644101E-3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3.005423325526363E-4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9.4700661800351611</v>
      </c>
      <c r="C54" s="22">
        <f t="shared" ref="C54:P54" si="3">(C50)*10^9/3600</f>
        <v>0</v>
      </c>
      <c r="D54" s="22">
        <f t="shared" si="3"/>
        <v>0</v>
      </c>
      <c r="E54" s="22">
        <f t="shared" si="3"/>
        <v>0</v>
      </c>
      <c r="F54" s="22">
        <f t="shared" si="3"/>
        <v>0</v>
      </c>
      <c r="G54" s="22">
        <f t="shared" si="3"/>
        <v>1888.823370462336</v>
      </c>
      <c r="H54" s="22">
        <f t="shared" si="3"/>
        <v>0</v>
      </c>
      <c r="I54" s="22">
        <f t="shared" si="3"/>
        <v>0</v>
      </c>
      <c r="J54" s="22">
        <f t="shared" si="3"/>
        <v>0</v>
      </c>
      <c r="K54" s="22">
        <f t="shared" si="3"/>
        <v>0</v>
      </c>
      <c r="L54" s="22">
        <f t="shared" si="3"/>
        <v>0</v>
      </c>
      <c r="M54" s="22">
        <f t="shared" si="3"/>
        <v>83.483981264621193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0.19305702535516278</v>
      </c>
      <c r="C56" s="57">
        <f ca="1">'EF ele_warmte'!B22</f>
        <v>0.2291444387356594</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1.8282628066341176</v>
      </c>
      <c r="C58" s="24">
        <f t="shared" ref="C58:P58" ca="1" si="4">C54*C56</f>
        <v>0</v>
      </c>
      <c r="D58" s="24">
        <f t="shared" si="4"/>
        <v>0</v>
      </c>
      <c r="E58" s="24">
        <f t="shared" si="4"/>
        <v>0</v>
      </c>
      <c r="F58" s="24">
        <f t="shared" si="4"/>
        <v>0</v>
      </c>
      <c r="G58" s="24">
        <f t="shared" si="4"/>
        <v>504.31583991344377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0"/>
  <sheetViews>
    <sheetView showGridLines="0" topLeftCell="B297" zoomScale="65" zoomScaleNormal="65" workbookViewId="0">
      <selection activeCell="M37" sqref="M37"/>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19865.611266008218</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6894.397542266408</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N38</f>
        <v>65434.950000000004</v>
      </c>
      <c r="C8" s="546">
        <f>B57</f>
        <v>72945.244095380069</v>
      </c>
      <c r="D8" s="969"/>
      <c r="E8" s="969">
        <f>E57</f>
        <v>970.47035273093377</v>
      </c>
      <c r="F8" s="970"/>
      <c r="G8" s="547"/>
      <c r="H8" s="969">
        <f>I57</f>
        <v>0</v>
      </c>
      <c r="I8" s="969">
        <f>G57+F57</f>
        <v>2911.4110581928012</v>
      </c>
      <c r="J8" s="969">
        <f>H57+D57+C57</f>
        <v>155.1686113432427</v>
      </c>
      <c r="K8" s="969"/>
      <c r="L8" s="969"/>
      <c r="M8" s="969"/>
      <c r="N8" s="548"/>
      <c r="O8" s="549">
        <f>C8*$C$12+D8*$D$12+E8*$E$12+F8*$F$12+G8*$G$12+H8*$H$12+I8*$I$12+J8*$J$12</f>
        <v>14994.054891445934</v>
      </c>
      <c r="P8" s="1243"/>
      <c r="Q8" s="1244"/>
      <c r="S8" s="1006"/>
      <c r="T8" s="1264"/>
      <c r="U8" s="1264"/>
    </row>
    <row r="9" spans="1:21" s="534" customFormat="1" ht="17.45" customHeight="1" thickBot="1">
      <c r="A9" s="550" t="s">
        <v>243</v>
      </c>
      <c r="B9" s="971">
        <f>N45+'Eigen informatie GS &amp; warmtenet'!B12</f>
        <v>1341</v>
      </c>
      <c r="C9" s="551">
        <f>P45+IF(ISERROR(('Eigen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S45+IF(ISERROR('Eigen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W45+IF(ISERROR('Eigen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(T45+U45)+IF(ISERROR('Eigen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V45+Q45+R45+IF(ISERROR('Eigen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93535.958808274634</v>
      </c>
      <c r="C10" s="558">
        <f t="shared" ref="C10:L10" si="0">SUM(C8:C9)</f>
        <v>72945.244095380069</v>
      </c>
      <c r="D10" s="558">
        <f t="shared" si="0"/>
        <v>0</v>
      </c>
      <c r="E10" s="558">
        <f t="shared" si="0"/>
        <v>970.47035273093377</v>
      </c>
      <c r="F10" s="558">
        <f t="shared" si="0"/>
        <v>0</v>
      </c>
      <c r="G10" s="558">
        <f t="shared" si="0"/>
        <v>0</v>
      </c>
      <c r="H10" s="558">
        <f t="shared" si="0"/>
        <v>0</v>
      </c>
      <c r="I10" s="558">
        <f t="shared" si="0"/>
        <v>2911.4110581928012</v>
      </c>
      <c r="J10" s="558">
        <f t="shared" si="0"/>
        <v>3986.5971827718145</v>
      </c>
      <c r="K10" s="558">
        <f t="shared" si="0"/>
        <v>0</v>
      </c>
      <c r="L10" s="558">
        <f t="shared" si="0"/>
        <v>0</v>
      </c>
      <c r="M10" s="973"/>
      <c r="N10" s="973"/>
      <c r="O10" s="559">
        <f>SUM(O4:O9)</f>
        <v>14994.054891445934</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O38</f>
        <v>92341.92857142858</v>
      </c>
      <c r="C17" s="570">
        <f>B58</f>
        <v>102940.47019033419</v>
      </c>
      <c r="D17" s="571"/>
      <c r="E17" s="571">
        <f>E58</f>
        <v>1369.5296472690661</v>
      </c>
      <c r="F17" s="572"/>
      <c r="G17" s="573"/>
      <c r="H17" s="570">
        <f>I58</f>
        <v>0</v>
      </c>
      <c r="I17" s="571">
        <f>G58+F58</f>
        <v>4108.5889418071984</v>
      </c>
      <c r="J17" s="571">
        <f>H58+D58+C58</f>
        <v>218.97424579961438</v>
      </c>
      <c r="K17" s="571"/>
      <c r="L17" s="571"/>
      <c r="M17" s="571"/>
      <c r="N17" s="976"/>
      <c r="O17" s="574">
        <f>C17*$C$22+E17*$E$22+H17*$H$22+I17*$I$22+J17*$J$22+D17*$D$22+F17*$F$22+G17*$G$22+K17*$K$22+L17*$L$22</f>
        <v>21159.63939426835</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92341.92857142858</v>
      </c>
      <c r="C20" s="557">
        <f>SUM(C17:C19)</f>
        <v>102940.47019033419</v>
      </c>
      <c r="D20" s="557">
        <f t="shared" ref="D20:L20" si="1">SUM(D17:D19)</f>
        <v>0</v>
      </c>
      <c r="E20" s="557">
        <f t="shared" si="1"/>
        <v>1369.5296472690661</v>
      </c>
      <c r="F20" s="557">
        <f t="shared" si="1"/>
        <v>0</v>
      </c>
      <c r="G20" s="557">
        <f t="shared" si="1"/>
        <v>0</v>
      </c>
      <c r="H20" s="557">
        <f t="shared" si="1"/>
        <v>0</v>
      </c>
      <c r="I20" s="557">
        <f t="shared" si="1"/>
        <v>4108.5889418071984</v>
      </c>
      <c r="J20" s="557">
        <f t="shared" si="1"/>
        <v>218.97424579961438</v>
      </c>
      <c r="K20" s="557">
        <f t="shared" si="1"/>
        <v>0</v>
      </c>
      <c r="L20" s="557">
        <f t="shared" si="1"/>
        <v>0</v>
      </c>
      <c r="M20" s="557"/>
      <c r="N20" s="557"/>
      <c r="O20" s="578">
        <f>SUM(O17:O19)</f>
        <v>21159.63939426835</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13014</v>
      </c>
      <c r="C28" s="777">
        <v>2321</v>
      </c>
      <c r="D28" s="630" t="s">
        <v>965</v>
      </c>
      <c r="E28" s="629" t="s">
        <v>966</v>
      </c>
      <c r="F28" s="629" t="s">
        <v>967</v>
      </c>
      <c r="G28" s="629" t="s">
        <v>968</v>
      </c>
      <c r="H28" s="629" t="s">
        <v>969</v>
      </c>
      <c r="I28" s="629" t="s">
        <v>966</v>
      </c>
      <c r="J28" s="776">
        <v>39562</v>
      </c>
      <c r="K28" s="776">
        <v>39562</v>
      </c>
      <c r="L28" s="629" t="s">
        <v>970</v>
      </c>
      <c r="M28" s="629">
        <v>2000</v>
      </c>
      <c r="N28" s="629">
        <v>9000</v>
      </c>
      <c r="O28" s="629">
        <v>12857.142857142857</v>
      </c>
      <c r="P28" s="629">
        <v>25714.285714285717</v>
      </c>
      <c r="Q28" s="629">
        <v>0</v>
      </c>
      <c r="R28" s="629">
        <v>0</v>
      </c>
      <c r="S28" s="629">
        <v>0</v>
      </c>
      <c r="T28" s="629">
        <v>0</v>
      </c>
      <c r="U28" s="629">
        <v>0</v>
      </c>
      <c r="V28" s="629">
        <v>0</v>
      </c>
      <c r="W28" s="629"/>
      <c r="X28" s="629">
        <v>1600</v>
      </c>
      <c r="Y28" s="629" t="s">
        <v>49</v>
      </c>
      <c r="Z28" s="631" t="s">
        <v>155</v>
      </c>
    </row>
    <row r="29" spans="1:26" s="583" customFormat="1" ht="25.5">
      <c r="A29" s="582"/>
      <c r="B29" s="777">
        <v>13014</v>
      </c>
      <c r="C29" s="777">
        <v>2321</v>
      </c>
      <c r="D29" s="630" t="s">
        <v>971</v>
      </c>
      <c r="E29" s="629" t="s">
        <v>972</v>
      </c>
      <c r="F29" s="629" t="s">
        <v>973</v>
      </c>
      <c r="G29" s="629" t="s">
        <v>968</v>
      </c>
      <c r="H29" s="629" t="s">
        <v>969</v>
      </c>
      <c r="I29" s="629" t="s">
        <v>972</v>
      </c>
      <c r="J29" s="776">
        <v>39660</v>
      </c>
      <c r="K29" s="776">
        <v>39661</v>
      </c>
      <c r="L29" s="629" t="s">
        <v>970</v>
      </c>
      <c r="M29" s="629">
        <v>2028</v>
      </c>
      <c r="N29" s="629">
        <v>9126</v>
      </c>
      <c r="O29" s="629">
        <v>13037.142857142857</v>
      </c>
      <c r="P29" s="629">
        <v>26074.285714285717</v>
      </c>
      <c r="Q29" s="629">
        <v>0</v>
      </c>
      <c r="R29" s="629">
        <v>0</v>
      </c>
      <c r="S29" s="629">
        <v>0</v>
      </c>
      <c r="T29" s="629">
        <v>0</v>
      </c>
      <c r="U29" s="629">
        <v>0</v>
      </c>
      <c r="V29" s="629">
        <v>0</v>
      </c>
      <c r="W29" s="629"/>
      <c r="X29" s="629">
        <v>10</v>
      </c>
      <c r="Y29" s="629" t="s">
        <v>111</v>
      </c>
      <c r="Z29" s="631" t="s">
        <v>111</v>
      </c>
    </row>
    <row r="30" spans="1:26" s="583" customFormat="1" ht="25.5">
      <c r="A30" s="582"/>
      <c r="B30" s="777">
        <v>13014</v>
      </c>
      <c r="C30" s="777">
        <v>2321</v>
      </c>
      <c r="D30" s="630" t="s">
        <v>974</v>
      </c>
      <c r="E30" s="629" t="s">
        <v>975</v>
      </c>
      <c r="F30" s="629" t="s">
        <v>976</v>
      </c>
      <c r="G30" s="629" t="s">
        <v>968</v>
      </c>
      <c r="H30" s="629" t="s">
        <v>969</v>
      </c>
      <c r="I30" s="629" t="s">
        <v>975</v>
      </c>
      <c r="J30" s="776">
        <v>39792</v>
      </c>
      <c r="K30" s="776">
        <v>39792</v>
      </c>
      <c r="L30" s="629" t="s">
        <v>970</v>
      </c>
      <c r="M30" s="629">
        <v>1556</v>
      </c>
      <c r="N30" s="629">
        <v>7002</v>
      </c>
      <c r="O30" s="629">
        <v>10002.857142857143</v>
      </c>
      <c r="P30" s="629">
        <v>20005.714285714286</v>
      </c>
      <c r="Q30" s="629">
        <v>0</v>
      </c>
      <c r="R30" s="629">
        <v>0</v>
      </c>
      <c r="S30" s="629">
        <v>0</v>
      </c>
      <c r="T30" s="629">
        <v>0</v>
      </c>
      <c r="U30" s="629">
        <v>0</v>
      </c>
      <c r="V30" s="629">
        <v>0</v>
      </c>
      <c r="W30" s="629"/>
      <c r="X30" s="629">
        <v>10</v>
      </c>
      <c r="Y30" s="629" t="s">
        <v>111</v>
      </c>
      <c r="Z30" s="631" t="s">
        <v>111</v>
      </c>
    </row>
    <row r="31" spans="1:26" s="583" customFormat="1" ht="25.5">
      <c r="A31" s="582"/>
      <c r="B31" s="777">
        <v>13014</v>
      </c>
      <c r="C31" s="777">
        <v>2321</v>
      </c>
      <c r="D31" s="630" t="s">
        <v>977</v>
      </c>
      <c r="E31" s="629" t="s">
        <v>978</v>
      </c>
      <c r="F31" s="629" t="s">
        <v>979</v>
      </c>
      <c r="G31" s="629" t="s">
        <v>968</v>
      </c>
      <c r="H31" s="629" t="s">
        <v>969</v>
      </c>
      <c r="I31" s="629" t="s">
        <v>978</v>
      </c>
      <c r="J31" s="776">
        <v>39895</v>
      </c>
      <c r="K31" s="776">
        <v>39895</v>
      </c>
      <c r="L31" s="629" t="s">
        <v>970</v>
      </c>
      <c r="M31" s="629">
        <v>1998</v>
      </c>
      <c r="N31" s="629">
        <v>8991</v>
      </c>
      <c r="O31" s="629">
        <v>12844.285714285714</v>
      </c>
      <c r="P31" s="629">
        <v>25688.571428571431</v>
      </c>
      <c r="Q31" s="629">
        <v>0</v>
      </c>
      <c r="R31" s="629">
        <v>0</v>
      </c>
      <c r="S31" s="629">
        <v>0</v>
      </c>
      <c r="T31" s="629">
        <v>0</v>
      </c>
      <c r="U31" s="629">
        <v>0</v>
      </c>
      <c r="V31" s="629">
        <v>0</v>
      </c>
      <c r="W31" s="629"/>
      <c r="X31" s="629">
        <v>10</v>
      </c>
      <c r="Y31" s="629" t="s">
        <v>111</v>
      </c>
      <c r="Z31" s="631" t="s">
        <v>111</v>
      </c>
    </row>
    <row r="32" spans="1:26" s="583" customFormat="1" ht="25.5">
      <c r="A32" s="582"/>
      <c r="B32" s="777">
        <v>13014</v>
      </c>
      <c r="C32" s="777">
        <v>2321</v>
      </c>
      <c r="D32" s="630" t="s">
        <v>980</v>
      </c>
      <c r="E32" s="629" t="s">
        <v>981</v>
      </c>
      <c r="F32" s="629" t="s">
        <v>982</v>
      </c>
      <c r="G32" s="629" t="s">
        <v>968</v>
      </c>
      <c r="H32" s="629" t="s">
        <v>969</v>
      </c>
      <c r="I32" s="629" t="s">
        <v>981</v>
      </c>
      <c r="J32" s="776">
        <v>40075</v>
      </c>
      <c r="K32" s="776">
        <v>39538</v>
      </c>
      <c r="L32" s="629" t="s">
        <v>970</v>
      </c>
      <c r="M32" s="629">
        <v>5774</v>
      </c>
      <c r="N32" s="629">
        <v>25983</v>
      </c>
      <c r="O32" s="629">
        <v>37118.571428571428</v>
      </c>
      <c r="P32" s="629">
        <v>74237.142857142855</v>
      </c>
      <c r="Q32" s="629">
        <v>0</v>
      </c>
      <c r="R32" s="629">
        <v>0</v>
      </c>
      <c r="S32" s="629">
        <v>0</v>
      </c>
      <c r="T32" s="629">
        <v>0</v>
      </c>
      <c r="U32" s="629">
        <v>0</v>
      </c>
      <c r="V32" s="629">
        <v>0</v>
      </c>
      <c r="W32" s="629"/>
      <c r="X32" s="629">
        <v>10</v>
      </c>
      <c r="Y32" s="629" t="s">
        <v>111</v>
      </c>
      <c r="Z32" s="631" t="s">
        <v>111</v>
      </c>
    </row>
    <row r="33" spans="1:26" s="583" customFormat="1" ht="25.5">
      <c r="A33" s="582"/>
      <c r="B33" s="777">
        <v>13014</v>
      </c>
      <c r="C33" s="777">
        <v>2320</v>
      </c>
      <c r="D33" s="630" t="s">
        <v>983</v>
      </c>
      <c r="E33" s="629" t="s">
        <v>984</v>
      </c>
      <c r="F33" s="629" t="s">
        <v>985</v>
      </c>
      <c r="G33" s="629" t="s">
        <v>968</v>
      </c>
      <c r="H33" s="629" t="s">
        <v>969</v>
      </c>
      <c r="I33" s="629" t="s">
        <v>984</v>
      </c>
      <c r="J33" s="776">
        <v>40185</v>
      </c>
      <c r="K33" s="776">
        <v>40238</v>
      </c>
      <c r="L33" s="629" t="s">
        <v>970</v>
      </c>
      <c r="M33" s="629">
        <v>122</v>
      </c>
      <c r="N33" s="629">
        <v>549</v>
      </c>
      <c r="O33" s="629">
        <v>784.28571428571433</v>
      </c>
      <c r="P33" s="629">
        <v>1568.5714285714287</v>
      </c>
      <c r="Q33" s="629">
        <v>0</v>
      </c>
      <c r="R33" s="629">
        <v>0</v>
      </c>
      <c r="S33" s="629">
        <v>0</v>
      </c>
      <c r="T33" s="629">
        <v>0</v>
      </c>
      <c r="U33" s="629">
        <v>0</v>
      </c>
      <c r="V33" s="629">
        <v>0</v>
      </c>
      <c r="W33" s="629"/>
      <c r="X33" s="629">
        <v>400</v>
      </c>
      <c r="Y33" s="629" t="s">
        <v>36</v>
      </c>
      <c r="Z33" s="631" t="s">
        <v>384</v>
      </c>
    </row>
    <row r="34" spans="1:26" s="583" customFormat="1" ht="38.25">
      <c r="A34" s="582"/>
      <c r="B34" s="777">
        <v>13014</v>
      </c>
      <c r="C34" s="777">
        <v>2328</v>
      </c>
      <c r="D34" s="630" t="s">
        <v>986</v>
      </c>
      <c r="E34" s="629" t="s">
        <v>987</v>
      </c>
      <c r="F34" s="629" t="s">
        <v>988</v>
      </c>
      <c r="G34" s="629" t="s">
        <v>968</v>
      </c>
      <c r="H34" s="629" t="s">
        <v>989</v>
      </c>
      <c r="I34" s="629" t="s">
        <v>987</v>
      </c>
      <c r="J34" s="776">
        <v>40464</v>
      </c>
      <c r="K34" s="776">
        <v>40464</v>
      </c>
      <c r="L34" s="629" t="s">
        <v>990</v>
      </c>
      <c r="M34" s="629">
        <v>832</v>
      </c>
      <c r="N34" s="629">
        <v>3744</v>
      </c>
      <c r="O34" s="629">
        <v>4212</v>
      </c>
      <c r="P34" s="629">
        <v>0</v>
      </c>
      <c r="Q34" s="629">
        <v>0</v>
      </c>
      <c r="R34" s="629">
        <v>0</v>
      </c>
      <c r="S34" s="629">
        <v>2340</v>
      </c>
      <c r="T34" s="629">
        <v>7020</v>
      </c>
      <c r="U34" s="629">
        <v>0</v>
      </c>
      <c r="V34" s="629">
        <v>0</v>
      </c>
      <c r="W34" s="629"/>
      <c r="X34" s="629">
        <v>10</v>
      </c>
      <c r="Y34" s="629" t="s">
        <v>111</v>
      </c>
      <c r="Z34" s="631" t="s">
        <v>111</v>
      </c>
    </row>
    <row r="35" spans="1:26" s="583" customFormat="1" ht="25.5">
      <c r="A35" s="582"/>
      <c r="B35" s="777">
        <v>13014</v>
      </c>
      <c r="C35" s="777">
        <v>2321</v>
      </c>
      <c r="D35" s="630" t="s">
        <v>991</v>
      </c>
      <c r="E35" s="629" t="s">
        <v>992</v>
      </c>
      <c r="F35" s="629" t="s">
        <v>993</v>
      </c>
      <c r="G35" s="629" t="s">
        <v>968</v>
      </c>
      <c r="H35" s="629" t="s">
        <v>969</v>
      </c>
      <c r="I35" s="629" t="s">
        <v>992</v>
      </c>
      <c r="J35" s="776">
        <v>40940</v>
      </c>
      <c r="K35" s="776">
        <v>40968</v>
      </c>
      <c r="L35" s="629" t="s">
        <v>970</v>
      </c>
      <c r="M35" s="629">
        <v>404</v>
      </c>
      <c r="N35" s="629">
        <v>909.00000000000011</v>
      </c>
      <c r="O35" s="629">
        <v>1298.5714285714287</v>
      </c>
      <c r="P35" s="629">
        <v>2597.1428571428578</v>
      </c>
      <c r="Q35" s="629">
        <v>0</v>
      </c>
      <c r="R35" s="629">
        <v>0</v>
      </c>
      <c r="S35" s="629">
        <v>0</v>
      </c>
      <c r="T35" s="629">
        <v>0</v>
      </c>
      <c r="U35" s="629">
        <v>0</v>
      </c>
      <c r="V35" s="629">
        <v>0</v>
      </c>
      <c r="W35" s="629"/>
      <c r="X35" s="629">
        <v>10</v>
      </c>
      <c r="Y35" s="629" t="s">
        <v>111</v>
      </c>
      <c r="Z35" s="631" t="s">
        <v>111</v>
      </c>
    </row>
    <row r="36" spans="1:26" s="583" customFormat="1" ht="25.5">
      <c r="A36" s="582"/>
      <c r="B36" s="777">
        <v>13014</v>
      </c>
      <c r="C36" s="777">
        <v>2322</v>
      </c>
      <c r="D36" s="630" t="s">
        <v>994</v>
      </c>
      <c r="E36" s="629" t="s">
        <v>995</v>
      </c>
      <c r="F36" s="629" t="s">
        <v>996</v>
      </c>
      <c r="G36" s="629" t="s">
        <v>968</v>
      </c>
      <c r="H36" s="629" t="s">
        <v>969</v>
      </c>
      <c r="I36" s="629" t="s">
        <v>997</v>
      </c>
      <c r="J36" s="776">
        <v>41116</v>
      </c>
      <c r="K36" s="776">
        <v>41275</v>
      </c>
      <c r="L36" s="629" t="s">
        <v>970</v>
      </c>
      <c r="M36" s="629">
        <v>9.6999999999999993</v>
      </c>
      <c r="N36" s="629">
        <v>43.649999999999991</v>
      </c>
      <c r="O36" s="629">
        <v>62.357142857142847</v>
      </c>
      <c r="P36" s="629">
        <v>0</v>
      </c>
      <c r="Q36" s="629">
        <v>124.71428571428569</v>
      </c>
      <c r="R36" s="629">
        <v>0</v>
      </c>
      <c r="S36" s="629">
        <v>0</v>
      </c>
      <c r="T36" s="629">
        <v>0</v>
      </c>
      <c r="U36" s="629">
        <v>0</v>
      </c>
      <c r="V36" s="629">
        <v>0</v>
      </c>
      <c r="W36" s="629"/>
      <c r="X36" s="629">
        <v>10</v>
      </c>
      <c r="Y36" s="629" t="s">
        <v>111</v>
      </c>
      <c r="Z36" s="631" t="s">
        <v>111</v>
      </c>
    </row>
    <row r="37" spans="1:26" s="583" customFormat="1" ht="25.5">
      <c r="A37" s="582"/>
      <c r="B37" s="777">
        <v>13014</v>
      </c>
      <c r="C37" s="777">
        <v>2322</v>
      </c>
      <c r="D37" s="630" t="s">
        <v>994</v>
      </c>
      <c r="E37" s="629" t="s">
        <v>995</v>
      </c>
      <c r="F37" s="629" t="s">
        <v>998</v>
      </c>
      <c r="G37" s="629" t="s">
        <v>968</v>
      </c>
      <c r="H37" s="629" t="s">
        <v>969</v>
      </c>
      <c r="I37" s="629" t="s">
        <v>999</v>
      </c>
      <c r="J37" s="776">
        <v>41260</v>
      </c>
      <c r="K37" s="776">
        <v>41275</v>
      </c>
      <c r="L37" s="629" t="s">
        <v>970</v>
      </c>
      <c r="M37" s="629">
        <v>19.399999999999999</v>
      </c>
      <c r="N37" s="629">
        <v>87.299999999999983</v>
      </c>
      <c r="O37" s="629">
        <v>124.71428571428569</v>
      </c>
      <c r="P37" s="629">
        <v>0</v>
      </c>
      <c r="Q37" s="629">
        <v>249.42857142857139</v>
      </c>
      <c r="R37" s="629">
        <v>0</v>
      </c>
      <c r="S37" s="629">
        <v>0</v>
      </c>
      <c r="T37" s="629">
        <v>0</v>
      </c>
      <c r="U37" s="629">
        <v>0</v>
      </c>
      <c r="V37" s="629">
        <v>0</v>
      </c>
      <c r="W37" s="629"/>
      <c r="X37" s="629">
        <v>10</v>
      </c>
      <c r="Y37" s="629" t="s">
        <v>111</v>
      </c>
      <c r="Z37" s="631" t="s">
        <v>111</v>
      </c>
    </row>
    <row r="38" spans="1:26" s="565" customFormat="1">
      <c r="A38" s="585" t="s">
        <v>275</v>
      </c>
      <c r="B38" s="586"/>
      <c r="C38" s="586"/>
      <c r="D38" s="586"/>
      <c r="E38" s="586"/>
      <c r="F38" s="586"/>
      <c r="G38" s="586"/>
      <c r="H38" s="586"/>
      <c r="I38" s="586"/>
      <c r="J38" s="586"/>
      <c r="K38" s="586"/>
      <c r="L38" s="587"/>
      <c r="M38" s="587">
        <f>SUM(M28:M37)</f>
        <v>14743.1</v>
      </c>
      <c r="N38" s="587">
        <f>SUM(N28:N37)</f>
        <v>65434.950000000004</v>
      </c>
      <c r="O38" s="587">
        <f>SUM(O28:O37)</f>
        <v>92341.92857142858</v>
      </c>
      <c r="P38" s="587">
        <f>SUM(P28:P37)</f>
        <v>175885.71428571429</v>
      </c>
      <c r="Q38" s="587">
        <f>SUM(Q28:Q37)</f>
        <v>374.14285714285711</v>
      </c>
      <c r="R38" s="587">
        <f>SUM(R28:R37)</f>
        <v>0</v>
      </c>
      <c r="S38" s="587">
        <f>SUM(S28:S37)</f>
        <v>2340</v>
      </c>
      <c r="T38" s="587">
        <f>SUM(T28:T37)</f>
        <v>7020</v>
      </c>
      <c r="U38" s="587">
        <f>SUM(U28:U37)</f>
        <v>0</v>
      </c>
      <c r="V38" s="587">
        <f>SUM(V28:V37)</f>
        <v>0</v>
      </c>
      <c r="W38" s="587">
        <f>SUM(W28:W37)</f>
        <v>0</v>
      </c>
      <c r="X38" s="588"/>
      <c r="Y38" s="588"/>
      <c r="Z38" s="589"/>
    </row>
    <row r="39" spans="1:26" s="565" customFormat="1">
      <c r="A39" s="585" t="s">
        <v>282</v>
      </c>
      <c r="B39" s="586"/>
      <c r="C39" s="586"/>
      <c r="D39" s="586"/>
      <c r="E39" s="586"/>
      <c r="F39" s="586"/>
      <c r="G39" s="586"/>
      <c r="H39" s="586"/>
      <c r="I39" s="586"/>
      <c r="J39" s="586"/>
      <c r="K39" s="586"/>
      <c r="L39" s="587"/>
      <c r="M39" s="587">
        <f>SUMIF($Z$28:$Z$37,"industrie",M28:M37)</f>
        <v>122</v>
      </c>
      <c r="N39" s="587">
        <f>SUMIF($Z$28:$Z$37,"industrie",N28:N37)</f>
        <v>549</v>
      </c>
      <c r="O39" s="587">
        <f>SUMIF($Z$28:$Z$37,"industrie",O28:O37)</f>
        <v>784.28571428571433</v>
      </c>
      <c r="P39" s="587">
        <f>SUMIF($Z$28:$Z$37,"industrie",P28:P37)</f>
        <v>1568.5714285714287</v>
      </c>
      <c r="Q39" s="587">
        <f>SUMIF($Z$28:$Z$37,"industrie",Q28:Q37)</f>
        <v>0</v>
      </c>
      <c r="R39" s="587">
        <f>SUMIF($Z$28:$Z$37,"industrie",R28:R37)</f>
        <v>0</v>
      </c>
      <c r="S39" s="587">
        <f>SUMIF($Z$28:$Z$37,"industrie",S28:S37)</f>
        <v>0</v>
      </c>
      <c r="T39" s="587">
        <f>SUMIF($Z$28:$Z$37,"industrie",T28:T37)</f>
        <v>0</v>
      </c>
      <c r="U39" s="587">
        <f>SUMIF($Z$28:$Z$37,"industrie",U28:U37)</f>
        <v>0</v>
      </c>
      <c r="V39" s="587">
        <f>SUMIF($Z$28:$Z$37,"industrie",V28:V37)</f>
        <v>0</v>
      </c>
      <c r="W39" s="587">
        <f>SUMIF($Z$28:$Z$37,"industrie",W28:W37)</f>
        <v>0</v>
      </c>
      <c r="X39" s="588"/>
      <c r="Y39" s="588"/>
      <c r="Z39" s="589"/>
    </row>
    <row r="40" spans="1:26" s="565" customFormat="1">
      <c r="A40" s="585" t="s">
        <v>283</v>
      </c>
      <c r="B40" s="586"/>
      <c r="C40" s="586"/>
      <c r="D40" s="586"/>
      <c r="E40" s="586"/>
      <c r="F40" s="586"/>
      <c r="G40" s="586"/>
      <c r="H40" s="586"/>
      <c r="I40" s="586"/>
      <c r="J40" s="586"/>
      <c r="K40" s="586"/>
      <c r="L40" s="587"/>
      <c r="M40" s="587">
        <f ca="1">SUMIF($Z$28:AC37,"tertiair",M28:M37)</f>
        <v>2000</v>
      </c>
      <c r="N40" s="587">
        <f ca="1">SUMIF($Z$28:AD37,"tertiair",N28:N37)</f>
        <v>9000</v>
      </c>
      <c r="O40" s="587">
        <f ca="1">SUMIF($Z$28:AE37,"tertiair",O28:O37)</f>
        <v>12857.142857142857</v>
      </c>
      <c r="P40" s="587">
        <f ca="1">SUMIF($Z$28:AF37,"tertiair",P28:P37)</f>
        <v>25714.285714285717</v>
      </c>
      <c r="Q40" s="587">
        <f ca="1">SUMIF($Z$28:AG37,"tertiair",Q28:Q37)</f>
        <v>0</v>
      </c>
      <c r="R40" s="587">
        <f ca="1">SUMIF($Z$28:AH37,"tertiair",R28:R37)</f>
        <v>0</v>
      </c>
      <c r="S40" s="587">
        <f ca="1">SUMIF($Z$28:AI37,"tertiair",S28:S37)</f>
        <v>0</v>
      </c>
      <c r="T40" s="587">
        <f ca="1">SUMIF($Z$28:AJ37,"tertiair",T28:T37)</f>
        <v>0</v>
      </c>
      <c r="U40" s="587">
        <f ca="1">SUMIF($Z$28:AK37,"tertiair",U28:U37)</f>
        <v>0</v>
      </c>
      <c r="V40" s="587">
        <f ca="1">SUMIF($Z$28:AL37,"tertiair",V28:V37)</f>
        <v>0</v>
      </c>
      <c r="W40" s="587">
        <f ca="1">SUMIF($Z$28:AM37,"tertiair",W28:W37)</f>
        <v>0</v>
      </c>
      <c r="X40" s="588"/>
      <c r="Y40" s="588"/>
      <c r="Z40" s="589"/>
    </row>
    <row r="41" spans="1:26" s="565" customFormat="1" ht="15.75" thickBot="1">
      <c r="A41" s="590" t="s">
        <v>284</v>
      </c>
      <c r="B41" s="591"/>
      <c r="C41" s="591"/>
      <c r="D41" s="591"/>
      <c r="E41" s="591"/>
      <c r="F41" s="591"/>
      <c r="G41" s="591"/>
      <c r="H41" s="591"/>
      <c r="I41" s="591"/>
      <c r="J41" s="591"/>
      <c r="K41" s="591"/>
      <c r="L41" s="592"/>
      <c r="M41" s="592">
        <f>SUMIF($Z$28:$Z$37,"landbouw",M28:M37)</f>
        <v>12621.1</v>
      </c>
      <c r="N41" s="592">
        <f>SUMIF($Z$28:$Z$37,"landbouw",N28:N37)</f>
        <v>55885.950000000004</v>
      </c>
      <c r="O41" s="592">
        <f>SUMIF($Z$28:$Z$37,"landbouw",O28:O37)</f>
        <v>78700.5</v>
      </c>
      <c r="P41" s="592">
        <f>SUMIF($Z$28:$Z$37,"landbouw",P28:P37)</f>
        <v>148602.85714285716</v>
      </c>
      <c r="Q41" s="592">
        <f>SUMIF($Z$28:$Z$37,"landbouw",Q28:Q37)</f>
        <v>374.14285714285711</v>
      </c>
      <c r="R41" s="592">
        <f>SUMIF($Z$28:$Z$37,"landbouw",R28:R37)</f>
        <v>0</v>
      </c>
      <c r="S41" s="592">
        <f>SUMIF($Z$28:$Z$37,"landbouw",S28:S37)</f>
        <v>2340</v>
      </c>
      <c r="T41" s="592">
        <f>SUMIF($Z$28:$Z$37,"landbouw",T28:T37)</f>
        <v>7020</v>
      </c>
      <c r="U41" s="592">
        <f>SUMIF($Z$28:$Z$37,"landbouw",U28:U37)</f>
        <v>0</v>
      </c>
      <c r="V41" s="592">
        <f>SUMIF($Z$28:$Z$37,"landbouw",V28:V37)</f>
        <v>0</v>
      </c>
      <c r="W41" s="592">
        <f>SUMIF($Z$28:$Z$37,"landbouw",W28:W37)</f>
        <v>0</v>
      </c>
      <c r="X41" s="593"/>
      <c r="Y41" s="593"/>
      <c r="Z41" s="594"/>
    </row>
    <row r="42" spans="1:26" s="534" customFormat="1" ht="15.75" thickBot="1">
      <c r="A42" s="595"/>
      <c r="B42" s="596"/>
      <c r="C42" s="596"/>
      <c r="D42" s="596"/>
      <c r="E42" s="596"/>
      <c r="F42" s="596"/>
      <c r="G42" s="596"/>
      <c r="H42" s="596"/>
      <c r="I42" s="596"/>
      <c r="J42" s="596"/>
      <c r="K42" s="596"/>
      <c r="L42" s="579"/>
      <c r="M42" s="579"/>
      <c r="N42" s="579"/>
      <c r="O42" s="580"/>
      <c r="P42" s="580"/>
    </row>
    <row r="43" spans="1:26" s="534" customFormat="1" ht="45">
      <c r="A43" s="597" t="s">
        <v>276</v>
      </c>
      <c r="B43" s="626" t="s">
        <v>89</v>
      </c>
      <c r="C43" s="626" t="s">
        <v>90</v>
      </c>
      <c r="D43" s="626" t="s">
        <v>91</v>
      </c>
      <c r="E43" s="626" t="s">
        <v>92</v>
      </c>
      <c r="F43" s="626" t="s">
        <v>93</v>
      </c>
      <c r="G43" s="626" t="s">
        <v>94</v>
      </c>
      <c r="H43" s="626" t="s">
        <v>95</v>
      </c>
      <c r="I43" s="626" t="s">
        <v>96</v>
      </c>
      <c r="J43" s="626" t="s">
        <v>97</v>
      </c>
      <c r="K43" s="626" t="s">
        <v>98</v>
      </c>
      <c r="L43" s="626" t="s">
        <v>99</v>
      </c>
      <c r="M43" s="627" t="s">
        <v>293</v>
      </c>
      <c r="N43" s="627" t="s">
        <v>100</v>
      </c>
      <c r="O43" s="627" t="s">
        <v>101</v>
      </c>
      <c r="P43" s="627" t="s">
        <v>541</v>
      </c>
      <c r="Q43" s="627" t="s">
        <v>102</v>
      </c>
      <c r="R43" s="627" t="s">
        <v>103</v>
      </c>
      <c r="S43" s="627" t="s">
        <v>104</v>
      </c>
      <c r="T43" s="627" t="s">
        <v>105</v>
      </c>
      <c r="U43" s="627" t="s">
        <v>106</v>
      </c>
      <c r="V43" s="627" t="s">
        <v>107</v>
      </c>
      <c r="W43" s="626" t="s">
        <v>108</v>
      </c>
      <c r="X43" s="626" t="s">
        <v>294</v>
      </c>
      <c r="Y43" s="626" t="s">
        <v>109</v>
      </c>
      <c r="Z43" s="628" t="s">
        <v>295</v>
      </c>
    </row>
    <row r="44" spans="1:26" s="598" customFormat="1" ht="63.75">
      <c r="A44" s="584"/>
      <c r="B44" s="777">
        <v>13014</v>
      </c>
      <c r="C44" s="777">
        <v>2320</v>
      </c>
      <c r="D44" s="632" t="s">
        <v>1000</v>
      </c>
      <c r="E44" s="632" t="s">
        <v>1001</v>
      </c>
      <c r="F44" s="632" t="s">
        <v>1002</v>
      </c>
      <c r="G44" s="632" t="s">
        <v>1003</v>
      </c>
      <c r="H44" s="632" t="s">
        <v>1004</v>
      </c>
      <c r="I44" s="632" t="s">
        <v>1005</v>
      </c>
      <c r="J44" s="776">
        <v>38763</v>
      </c>
      <c r="K44" s="776">
        <v>39052</v>
      </c>
      <c r="L44" s="632" t="s">
        <v>1006</v>
      </c>
      <c r="M44" s="632">
        <v>298</v>
      </c>
      <c r="N44" s="632">
        <v>1341</v>
      </c>
      <c r="O44" s="632">
        <v>0</v>
      </c>
      <c r="P44" s="632">
        <v>0</v>
      </c>
      <c r="Q44" s="632">
        <v>3831.4285714285716</v>
      </c>
      <c r="R44" s="632">
        <v>0</v>
      </c>
      <c r="S44" s="632">
        <v>0</v>
      </c>
      <c r="T44" s="632">
        <v>0</v>
      </c>
      <c r="U44" s="632">
        <v>0</v>
      </c>
      <c r="V44" s="632">
        <v>0</v>
      </c>
      <c r="W44" s="632"/>
      <c r="X44" s="632">
        <v>1600</v>
      </c>
      <c r="Y44" s="632" t="s">
        <v>49</v>
      </c>
      <c r="Z44" s="633" t="s">
        <v>155</v>
      </c>
    </row>
    <row r="45" spans="1:26" s="565" customFormat="1">
      <c r="A45" s="585" t="s">
        <v>275</v>
      </c>
      <c r="B45" s="586"/>
      <c r="C45" s="586"/>
      <c r="D45" s="586"/>
      <c r="E45" s="586"/>
      <c r="F45" s="586"/>
      <c r="G45" s="586"/>
      <c r="H45" s="586"/>
      <c r="I45" s="586"/>
      <c r="J45" s="586"/>
      <c r="K45" s="586"/>
      <c r="L45" s="587"/>
      <c r="M45" s="587">
        <f>SUM(M44:M44)</f>
        <v>298</v>
      </c>
      <c r="N45" s="587">
        <f>SUM(N44:N44)</f>
        <v>1341</v>
      </c>
      <c r="O45" s="587">
        <f>SUM(O44:O44)</f>
        <v>0</v>
      </c>
      <c r="P45" s="587">
        <f>SUM(P44:P44)</f>
        <v>0</v>
      </c>
      <c r="Q45" s="587">
        <f>SUM(Q44:Q44)</f>
        <v>3831.4285714285716</v>
      </c>
      <c r="R45" s="587">
        <f>SUM(R44:R44)</f>
        <v>0</v>
      </c>
      <c r="S45" s="587">
        <f>SUM(S44:S44)</f>
        <v>0</v>
      </c>
      <c r="T45" s="587">
        <f>SUM(T44:T44)</f>
        <v>0</v>
      </c>
      <c r="U45" s="587">
        <f>SUM(U44:U44)</f>
        <v>0</v>
      </c>
      <c r="V45" s="587">
        <f>SUM(V44:V44)</f>
        <v>0</v>
      </c>
      <c r="W45" s="587">
        <f>SUM(W44:W44)</f>
        <v>0</v>
      </c>
      <c r="X45" s="588"/>
      <c r="Y45" s="588"/>
      <c r="Z45" s="589"/>
    </row>
    <row r="46" spans="1:26" s="565" customFormat="1">
      <c r="A46" s="585" t="s">
        <v>282</v>
      </c>
      <c r="B46" s="586"/>
      <c r="C46" s="586"/>
      <c r="D46" s="586"/>
      <c r="E46" s="586"/>
      <c r="F46" s="586"/>
      <c r="G46" s="586"/>
      <c r="H46" s="586"/>
      <c r="I46" s="586"/>
      <c r="J46" s="586"/>
      <c r="K46" s="586"/>
      <c r="L46" s="587"/>
      <c r="M46" s="587">
        <f>SUMIF($Z$44:$Z$44,"industrie",M44:M44)</f>
        <v>0</v>
      </c>
      <c r="N46" s="587">
        <f>SUMIF($Z$44:$Z$44,"industrie",N44:N44)</f>
        <v>0</v>
      </c>
      <c r="O46" s="587">
        <f>SUMIF($Z$44:$Z$44,"industrie",O44:O44)</f>
        <v>0</v>
      </c>
      <c r="P46" s="587">
        <f>SUMIF($Z$44:$Z$44,"industrie",P44:P44)</f>
        <v>0</v>
      </c>
      <c r="Q46" s="587">
        <f>SUMIF($Z$44:$Z$44,"industrie",Q44:Q44)</f>
        <v>0</v>
      </c>
      <c r="R46" s="587">
        <f>SUMIF($Z$44:$Z$44,"industrie",R44:R44)</f>
        <v>0</v>
      </c>
      <c r="S46" s="587">
        <f>SUMIF($Z$44:$Z$44,"industrie",S44:S44)</f>
        <v>0</v>
      </c>
      <c r="T46" s="587">
        <f>SUMIF($Z$44:$Z$44,"industrie",T44:T44)</f>
        <v>0</v>
      </c>
      <c r="U46" s="587">
        <f>SUMIF($Z$44:$Z$44,"industrie",U44:U44)</f>
        <v>0</v>
      </c>
      <c r="V46" s="587">
        <f>SUMIF($Z$44:$Z$44,"industrie",V44:V44)</f>
        <v>0</v>
      </c>
      <c r="W46" s="587">
        <f>SUMIF($Z$44:$Z$44,"industrie",W44:W44)</f>
        <v>0</v>
      </c>
      <c r="X46" s="588"/>
      <c r="Y46" s="588"/>
      <c r="Z46" s="589"/>
    </row>
    <row r="47" spans="1:26" s="565" customFormat="1">
      <c r="A47" s="585" t="s">
        <v>283</v>
      </c>
      <c r="B47" s="586"/>
      <c r="C47" s="586"/>
      <c r="D47" s="586"/>
      <c r="E47" s="586"/>
      <c r="F47" s="586"/>
      <c r="G47" s="586"/>
      <c r="H47" s="586"/>
      <c r="I47" s="586"/>
      <c r="J47" s="586"/>
      <c r="K47" s="586"/>
      <c r="L47" s="587"/>
      <c r="M47" s="587">
        <f>SUMIF($Z$44:$Z$45,"tertiair",M44:M45)</f>
        <v>298</v>
      </c>
      <c r="N47" s="587">
        <f>SUMIF($Z$44:$Z$45,"tertiair",N44:N45)</f>
        <v>1341</v>
      </c>
      <c r="O47" s="587">
        <f>SUMIF($Z$44:$Z$45,"tertiair",O44:O45)</f>
        <v>0</v>
      </c>
      <c r="P47" s="587">
        <f>SUMIF($Z$44:$Z$45,"tertiair",P44:P45)</f>
        <v>0</v>
      </c>
      <c r="Q47" s="587">
        <f>SUMIF($Z$44:$Z$45,"tertiair",Q44:Q45)</f>
        <v>3831.4285714285716</v>
      </c>
      <c r="R47" s="587">
        <f>SUMIF($Z$44:$Z$45,"tertiair",R44:R45)</f>
        <v>0</v>
      </c>
      <c r="S47" s="587">
        <f>SUMIF($Z$44:$Z$45,"tertiair",S44:S45)</f>
        <v>0</v>
      </c>
      <c r="T47" s="587">
        <f>SUMIF($Z$44:$Z$45,"tertiair",T44:T45)</f>
        <v>0</v>
      </c>
      <c r="U47" s="587">
        <f>SUMIF($Z$44:$Z$45,"tertiair",U44:U45)</f>
        <v>0</v>
      </c>
      <c r="V47" s="587">
        <f>SUMIF($Z$44:$Z$45,"tertiair",V44:V45)</f>
        <v>0</v>
      </c>
      <c r="W47" s="587">
        <f>SUMIF($Z$44:$Z$45,"tertiair",W44:W45)</f>
        <v>0</v>
      </c>
      <c r="X47" s="588"/>
      <c r="Y47" s="588"/>
      <c r="Z47" s="589"/>
    </row>
    <row r="48" spans="1:26" s="565" customFormat="1" ht="15.75" thickBot="1">
      <c r="A48" s="590" t="s">
        <v>284</v>
      </c>
      <c r="B48" s="591"/>
      <c r="C48" s="591"/>
      <c r="D48" s="591"/>
      <c r="E48" s="591"/>
      <c r="F48" s="591"/>
      <c r="G48" s="591"/>
      <c r="H48" s="591"/>
      <c r="I48" s="591"/>
      <c r="J48" s="591"/>
      <c r="K48" s="591"/>
      <c r="L48" s="592"/>
      <c r="M48" s="592">
        <f>SUMIF($Z$44:$Z$46,"landbouw",M44:M46)</f>
        <v>0</v>
      </c>
      <c r="N48" s="592">
        <f>SUMIF($Z$44:$Z$46,"landbouw",N44:N46)</f>
        <v>0</v>
      </c>
      <c r="O48" s="592">
        <f>SUMIF($Z$44:$Z$46,"landbouw",O44:O46)</f>
        <v>0</v>
      </c>
      <c r="P48" s="592">
        <f>SUMIF($Z$44:$Z$46,"landbouw",P44:P46)</f>
        <v>0</v>
      </c>
      <c r="Q48" s="592">
        <f>SUMIF($Z$44:$Z$46,"landbouw",Q44:Q46)</f>
        <v>0</v>
      </c>
      <c r="R48" s="592">
        <f>SUMIF($Z$44:$Z$46,"landbouw",R44:R46)</f>
        <v>0</v>
      </c>
      <c r="S48" s="592">
        <f>SUMIF($Z$44:$Z$46,"landbouw",S44:S46)</f>
        <v>0</v>
      </c>
      <c r="T48" s="592">
        <f>SUMIF($Z$44:$Z$46,"landbouw",T44:T46)</f>
        <v>0</v>
      </c>
      <c r="U48" s="592">
        <f>SUMIF($Z$44:$Z$46,"landbouw",U44:U46)</f>
        <v>0</v>
      </c>
      <c r="V48" s="592">
        <f>SUMIF($Z$44:$Z$46,"landbouw",V44:V46)</f>
        <v>0</v>
      </c>
      <c r="W48" s="592">
        <f>SUMIF($Z$44:$Z$46,"landbouw",W44:W46)</f>
        <v>0</v>
      </c>
      <c r="X48" s="593"/>
      <c r="Y48" s="593"/>
      <c r="Z48" s="594"/>
    </row>
    <row r="49" spans="1:27" s="599" customFormat="1">
      <c r="A49" s="595"/>
      <c r="B49" s="579"/>
      <c r="C49" s="579"/>
      <c r="D49" s="579"/>
      <c r="E49" s="579"/>
      <c r="F49" s="579"/>
      <c r="G49" s="579"/>
      <c r="H49" s="579"/>
      <c r="I49" s="579"/>
      <c r="J49" s="579"/>
      <c r="K49" s="579"/>
      <c r="L49" s="579"/>
      <c r="M49" s="579"/>
      <c r="N49" s="579"/>
      <c r="O49" s="579"/>
      <c r="P49" s="579"/>
      <c r="Q49" s="579"/>
      <c r="R49" s="579"/>
      <c r="S49" s="579"/>
      <c r="T49" s="579"/>
      <c r="U49" s="579"/>
      <c r="V49" s="579"/>
      <c r="W49" s="579"/>
      <c r="X49" s="579"/>
      <c r="Y49" s="579"/>
    </row>
    <row r="50" spans="1:27" s="599" customFormat="1" ht="15.75" thickBot="1">
      <c r="A50" s="595"/>
      <c r="B50" s="579"/>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row>
    <row r="51" spans="1:27">
      <c r="A51" s="600" t="s">
        <v>277</v>
      </c>
      <c r="B51" s="601"/>
      <c r="C51" s="601"/>
      <c r="D51" s="601"/>
      <c r="E51" s="601"/>
      <c r="F51" s="601"/>
      <c r="G51" s="601"/>
      <c r="H51" s="601"/>
      <c r="I51" s="602"/>
      <c r="J51" s="603"/>
      <c r="K51" s="603"/>
      <c r="L51" s="604"/>
      <c r="M51" s="604"/>
      <c r="N51" s="604"/>
      <c r="O51" s="604"/>
      <c r="P51" s="604"/>
    </row>
    <row r="52" spans="1:27">
      <c r="A52" s="606"/>
      <c r="B52" s="596"/>
      <c r="C52" s="596"/>
      <c r="D52" s="596"/>
      <c r="E52" s="596"/>
      <c r="F52" s="596"/>
      <c r="G52" s="596"/>
      <c r="H52" s="596"/>
      <c r="I52" s="607"/>
      <c r="J52" s="596"/>
      <c r="K52" s="596"/>
      <c r="L52" s="604"/>
      <c r="M52" s="604"/>
      <c r="N52" s="604"/>
      <c r="O52" s="604"/>
      <c r="P52" s="604"/>
    </row>
    <row r="53" spans="1:27">
      <c r="A53" s="608"/>
      <c r="B53" s="609" t="s">
        <v>278</v>
      </c>
      <c r="C53" s="609" t="s">
        <v>279</v>
      </c>
      <c r="D53" s="609"/>
      <c r="E53" s="609"/>
      <c r="F53" s="609"/>
      <c r="G53" s="609"/>
      <c r="H53" s="609"/>
      <c r="I53" s="610"/>
      <c r="J53" s="609"/>
      <c r="K53" s="609"/>
      <c r="L53" s="609"/>
      <c r="M53" s="609"/>
      <c r="N53" s="609"/>
      <c r="O53" s="609"/>
      <c r="P53" s="604"/>
    </row>
    <row r="54" spans="1:27">
      <c r="A54" s="606" t="s">
        <v>275</v>
      </c>
      <c r="B54" s="611">
        <f>IF(ISERROR(O38/(O38+N38)),0,O38/(O38+N38))</f>
        <v>0.58526908002951539</v>
      </c>
      <c r="C54" s="612">
        <f>IF(ISERROR(N38/(O38+N38)),0,N38/(N38+O38))</f>
        <v>0.4147309199704845</v>
      </c>
      <c r="D54" s="579"/>
      <c r="E54" s="579"/>
      <c r="F54" s="579"/>
      <c r="G54" s="579"/>
      <c r="H54" s="579"/>
      <c r="I54" s="613"/>
      <c r="J54" s="579"/>
      <c r="K54" s="579"/>
      <c r="L54" s="614"/>
      <c r="M54" s="614"/>
      <c r="N54" s="614"/>
      <c r="O54" s="614"/>
      <c r="P54" s="604"/>
    </row>
    <row r="55" spans="1:27">
      <c r="A55" s="606"/>
      <c r="B55" s="615"/>
      <c r="C55" s="615"/>
      <c r="D55" s="615"/>
      <c r="E55" s="615"/>
      <c r="F55" s="615"/>
      <c r="G55" s="615"/>
      <c r="H55" s="615"/>
      <c r="I55" s="616"/>
      <c r="J55" s="615"/>
      <c r="K55" s="615"/>
      <c r="L55" s="617"/>
      <c r="M55" s="617"/>
      <c r="N55" s="617"/>
      <c r="O55" s="617"/>
      <c r="P55" s="604"/>
    </row>
    <row r="56" spans="1:27" ht="30">
      <c r="A56" s="618"/>
      <c r="B56" s="619" t="s">
        <v>541</v>
      </c>
      <c r="C56" s="619" t="s">
        <v>102</v>
      </c>
      <c r="D56" s="619" t="s">
        <v>103</v>
      </c>
      <c r="E56" s="619" t="s">
        <v>104</v>
      </c>
      <c r="F56" s="619" t="s">
        <v>105</v>
      </c>
      <c r="G56" s="619" t="s">
        <v>106</v>
      </c>
      <c r="H56" s="619" t="s">
        <v>107</v>
      </c>
      <c r="I56" s="620" t="s">
        <v>108</v>
      </c>
      <c r="J56" s="609"/>
      <c r="K56" s="609"/>
      <c r="L56" s="617"/>
      <c r="M56" s="617"/>
      <c r="N56" s="617"/>
      <c r="O56" s="604"/>
      <c r="P56" s="604"/>
    </row>
    <row r="57" spans="1:27">
      <c r="A57" s="608" t="s">
        <v>280</v>
      </c>
      <c r="B57" s="621">
        <f t="shared" ref="B57:I57" si="2">$C$54*P38</f>
        <v>72945.244095380069</v>
      </c>
      <c r="C57" s="621">
        <f t="shared" si="2"/>
        <v>155.1686113432427</v>
      </c>
      <c r="D57" s="621">
        <f t="shared" si="2"/>
        <v>0</v>
      </c>
      <c r="E57" s="621">
        <f t="shared" si="2"/>
        <v>970.47035273093377</v>
      </c>
      <c r="F57" s="621">
        <f t="shared" si="2"/>
        <v>2911.4110581928012</v>
      </c>
      <c r="G57" s="621">
        <f t="shared" si="2"/>
        <v>0</v>
      </c>
      <c r="H57" s="621">
        <f t="shared" si="2"/>
        <v>0</v>
      </c>
      <c r="I57" s="622">
        <f t="shared" si="2"/>
        <v>0</v>
      </c>
      <c r="J57" s="579"/>
      <c r="K57" s="579"/>
      <c r="L57" s="617"/>
      <c r="M57" s="617"/>
      <c r="N57" s="617"/>
      <c r="O57" s="604"/>
      <c r="P57" s="604"/>
    </row>
    <row r="58" spans="1:27" ht="15.75" thickBot="1">
      <c r="A58" s="623" t="s">
        <v>281</v>
      </c>
      <c r="B58" s="624">
        <f t="shared" ref="B58:I58" si="3">$B$54*P38</f>
        <v>102940.47019033419</v>
      </c>
      <c r="C58" s="624">
        <f t="shared" si="3"/>
        <v>218.97424579961438</v>
      </c>
      <c r="D58" s="624">
        <f t="shared" si="3"/>
        <v>0</v>
      </c>
      <c r="E58" s="624">
        <f t="shared" si="3"/>
        <v>1369.5296472690661</v>
      </c>
      <c r="F58" s="624">
        <f t="shared" si="3"/>
        <v>4108.5889418071984</v>
      </c>
      <c r="G58" s="624">
        <f t="shared" si="3"/>
        <v>0</v>
      </c>
      <c r="H58" s="624">
        <f t="shared" si="3"/>
        <v>0</v>
      </c>
      <c r="I58" s="625">
        <f t="shared" si="3"/>
        <v>0</v>
      </c>
      <c r="J58" s="579"/>
      <c r="K58" s="579"/>
      <c r="L58" s="617"/>
      <c r="M58" s="617"/>
      <c r="N58" s="617"/>
      <c r="O58" s="604"/>
      <c r="P58" s="604"/>
    </row>
    <row r="59" spans="1:27">
      <c r="J59" s="563"/>
      <c r="K59" s="563"/>
      <c r="L59" s="563"/>
      <c r="M59" s="563"/>
      <c r="N59" s="563"/>
    </row>
    <row r="60" spans="1:27">
      <c r="J60" s="563"/>
      <c r="K60" s="563"/>
      <c r="L60" s="563"/>
      <c r="M60" s="563"/>
      <c r="N60"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2021-06-29T16:38:42Z</dcterms:modified>
</cp:coreProperties>
</file>