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46" i="18"/>
  <c r="V46" i="18"/>
  <c r="U46" i="18"/>
  <c r="T46" i="18"/>
  <c r="S46" i="18"/>
  <c r="R46" i="18"/>
  <c r="Q46" i="18"/>
  <c r="P46" i="18"/>
  <c r="O46" i="18"/>
  <c r="N46" i="18"/>
  <c r="M46" i="18"/>
  <c r="W45" i="18"/>
  <c r="V45" i="18"/>
  <c r="U45" i="18"/>
  <c r="T45" i="18"/>
  <c r="S45" i="18"/>
  <c r="R45" i="18"/>
  <c r="Q45" i="18"/>
  <c r="P45" i="18"/>
  <c r="O45" i="18"/>
  <c r="N45" i="18"/>
  <c r="M45" i="18"/>
  <c r="W44" i="18"/>
  <c r="V44" i="18"/>
  <c r="U44" i="18"/>
  <c r="T44" i="18"/>
  <c r="S44" i="18"/>
  <c r="R44" i="18"/>
  <c r="Q44" i="18"/>
  <c r="P44" i="18"/>
  <c r="O44" i="18"/>
  <c r="N44" i="18"/>
  <c r="M44" i="18"/>
  <c r="W43" i="18"/>
  <c r="H9" i="18" s="1"/>
  <c r="V43" i="18"/>
  <c r="U43" i="18"/>
  <c r="T43" i="18"/>
  <c r="I9" i="18" s="1"/>
  <c r="S43" i="18"/>
  <c r="E9" i="18" s="1"/>
  <c r="R43" i="18"/>
  <c r="Q43" i="18"/>
  <c r="P43" i="18"/>
  <c r="C9" i="18" s="1"/>
  <c r="O43" i="18"/>
  <c r="N43" i="18"/>
  <c r="B9" i="18" s="1"/>
  <c r="M43"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R36" i="18"/>
  <c r="Q36" i="18"/>
  <c r="P36" i="18"/>
  <c r="O36" i="18"/>
  <c r="N36" i="18"/>
  <c r="M36" i="18"/>
  <c r="G22" i="18"/>
  <c r="F22" i="18"/>
  <c r="E22" i="18"/>
  <c r="D22" i="18"/>
  <c r="C22" i="18"/>
  <c r="L20" i="18"/>
  <c r="D20" i="18"/>
  <c r="G12" i="18"/>
  <c r="F12" i="18"/>
  <c r="E12" i="18"/>
  <c r="D12" i="18"/>
  <c r="C12" i="18"/>
  <c r="L10" i="18"/>
  <c r="K10" i="18"/>
  <c r="G10" i="18"/>
  <c r="D10" i="18"/>
  <c r="B8" i="18"/>
  <c r="B6" i="18"/>
  <c r="B5" i="18"/>
  <c r="B4" i="18"/>
  <c r="B52" i="18" l="1"/>
  <c r="J9" i="18"/>
  <c r="O9" i="18" s="1"/>
  <c r="F20" i="18"/>
  <c r="B17" i="18"/>
  <c r="C52" i="18"/>
  <c r="B55" i="18" s="1"/>
  <c r="C8" i="18" s="1"/>
  <c r="G20" i="18"/>
  <c r="K20" i="18"/>
  <c r="B10" i="18"/>
  <c r="O19" i="18"/>
  <c r="O18" i="18"/>
  <c r="B20" i="18"/>
  <c r="I56" i="18"/>
  <c r="H17" i="18" s="1"/>
  <c r="H20" i="18" s="1"/>
  <c r="E56" i="18"/>
  <c r="E17" i="18" s="1"/>
  <c r="E20" i="18" s="1"/>
  <c r="G56" i="18"/>
  <c r="C56" i="18"/>
  <c r="H56" i="18"/>
  <c r="D56" i="18"/>
  <c r="F56" i="18"/>
  <c r="B56" i="18"/>
  <c r="C17" i="18" s="1"/>
  <c r="I55" i="18"/>
  <c r="H8" i="18" s="1"/>
  <c r="H10" i="18" s="1"/>
  <c r="E55" i="18"/>
  <c r="E8" i="18" s="1"/>
  <c r="E10" i="18" s="1"/>
  <c r="C55" i="18"/>
  <c r="H55" i="18"/>
  <c r="N6" i="17"/>
  <c r="L6" i="17"/>
  <c r="F6" i="17"/>
  <c r="D6" i="17"/>
  <c r="C6" i="17"/>
  <c r="N16" i="16"/>
  <c r="L16" i="16"/>
  <c r="F16" i="16"/>
  <c r="D16" i="16"/>
  <c r="C16" i="16"/>
  <c r="B16" i="16"/>
  <c r="B13" i="15"/>
  <c r="F55" i="18" l="1"/>
  <c r="D55" i="18"/>
  <c r="G55" i="18"/>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I10" i="56" l="1"/>
  <c r="I87" i="14"/>
  <c r="I17" i="56" s="1"/>
  <c r="J76" i="14"/>
  <c r="J8" i="56" s="1"/>
  <c r="J10" i="56" s="1"/>
  <c r="P32" i="48"/>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<sst xmlns="http://schemas.openxmlformats.org/spreadsheetml/2006/main" count="2646" uniqueCount="1002">
  <si>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</si>
  <si>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</si>
  <si>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</si>
  <si>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</si>
  <si>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</si>
  <si>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</si>
  <si>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</si>
  <si>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</si>
  <si>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</si>
  <si>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</si>
  <si>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</si>
  <si>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</si>
  <si>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</si>
  <si>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</si>
  <si>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</si>
  <si>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</si>
  <si>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</si>
  <si>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</si>
  <si>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</si>
  <si>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</si>
  <si>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</si>
  <si>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</si>
  <si>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</si>
  <si>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</si>
  <si>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</si>
  <si>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</si>
  <si>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</si>
  <si>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</si>
  <si>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</si>
  <si>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</si>
  <si>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</si>
  <si>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</si>
  <si>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</si>
  <si>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</si>
  <si>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</si>
  <si>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</si>
  <si>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</si>
  <si>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</si>
  <si>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</si>
  <si>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</si>
  <si>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</si>
  <si>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</si>
  <si>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</si>
  <si>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</si>
  <si>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</si>
  <si>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</si>
  <si>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</si>
  <si>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</si>
  <si>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</si>
  <si>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</si>
  <si>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</si>
  <si>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</si>
  <si>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</si>
  <si>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</si>
  <si>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</si>
  <si>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</si>
  <si>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</si>
  <si>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</si>
  <si>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</si>
  <si>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</si>
  <si>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</si>
  <si>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</si>
  <si>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</si>
  <si>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</si>
  <si>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</si>
  <si>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</si>
  <si>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</si>
  <si>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</si>
  <si>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</si>
  <si>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</si>
  <si>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</si>
  <si>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</si>
  <si>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</si>
  <si>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</si>
  <si>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</si>
  <si>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</si>
  <si>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</si>
  <si>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</si>
  <si>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</si>
  <si>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</si>
  <si>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</si>
  <si>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</si>
  <si>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</si>
  <si>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</si>
  <si>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</si>
  <si>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</si>
  <si>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</si>
  <si>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</si>
  <si>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</si>
  <si>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</si>
  <si>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</si>
  <si>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</si>
  <si>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</si>
  <si>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</si>
  <si>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</si>
  <si>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</si>
  <si>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</si>
  <si>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</si>
  <si>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</si>
  <si>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</si>
  <si>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</si>
  <si>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</si>
  <si>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</si>
  <si>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</si>
  <si>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</si>
  <si>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</si>
  <si>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</si>
  <si>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</si>
  <si>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</si>
  <si>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</si>
  <si>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</si>
  <si>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</si>
  <si>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</si>
  <si>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</si>
  <si>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</si>
  <si>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</si>
  <si>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</si>
  <si>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</si>
  <si>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</si>
  <si>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</si>
  <si>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</si>
  <si>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</si>
  <si>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</si>
  <si>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</si>
  <si>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</si>
  <si>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</si>
  <si>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</si>
  <si>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</si>
  <si>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</si>
  <si>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</si>
  <si>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</si>
  <si>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</si>
  <si>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</si>
  <si>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</si>
  <si>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</si>
  <si>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</si>
  <si>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</si>
  <si>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</si>
  <si>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</si>
  <si>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</si>
  <si>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</si>
  <si>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</si>
  <si>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</si>
  <si>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</si>
  <si>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</si>
  <si>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</si>
  <si>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</si>
  <si>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</si>
  <si>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</si>
  <si>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</si>
  <si>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</si>
  <si>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</si>
  <si>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</si>
  <si>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</si>
  <si>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</si>
  <si>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</si>
  <si>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</si>
  <si>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</si>
  <si>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</si>
  <si>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</si>
  <si>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</si>
  <si>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</si>
  <si>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</si>
  <si>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</si>
  <si>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</si>
  <si>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</si>
  <si>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</si>
  <si>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</si>
  <si>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</si>
  <si>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</si>
  <si>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</si>
  <si>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</si>
  <si>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</si>
  <si>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</si>
  <si>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</si>
  <si>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</si>
  <si>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</si>
  <si>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</si>
  <si>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</si>
  <si>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</si>
  <si>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</si>
  <si>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</si>
  <si>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</si>
  <si>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</si>
  <si>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</si>
  <si>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</si>
  <si>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</si>
  <si>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</si>
  <si>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</si>
  <si>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</si>
  <si>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</si>
  <si>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</si>
  <si>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</si>
  <si>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</si>
  <si>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</si>
  <si>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</si>
  <si>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</si>
  <si>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</si>
  <si>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</si>
  <si>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</si>
  <si>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</si>
  <si>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</si>
  <si>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</si>
  <si>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</si>
  <si>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</si>
  <si>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</si>
  <si>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</si>
  <si>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</si>
  <si>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</si>
  <si>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</si>
  <si>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</si>
  <si>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</si>
  <si>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</si>
  <si>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</si>
  <si>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</si>
  <si>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</si>
  <si>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</si>
  <si>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</si>
  <si>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</si>
  <si>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</si>
  <si>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</si>
  <si>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</si>
  <si>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</si>
  <si>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</si>
  <si>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</si>
  <si>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</si>
  <si>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</si>
  <si>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</si>
  <si>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</si>
  <si>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</si>
  <si>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</si>
  <si>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</si>
  <si>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</si>
  <si>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</si>
  <si>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</si>
  <si>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</si>
  <si>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</si>
  <si>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</si>
  <si>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</si>
  <si>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</si>
  <si>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</si>
  <si>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</si>
  <si>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</si>
  <si>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</si>
  <si>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</si>
  <si>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</si>
  <si>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</si>
  <si>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</si>
  <si>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</si>
  <si>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</si>
  <si>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</si>
  <si>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</si>
  <si>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</si>
  <si>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</si>
  <si>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</si>
  <si>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</si>
  <si>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</si>
  <si>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</si>
  <si>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</si>
  <si>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</si>
  <si>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</si>
  <si>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</si>
  <si>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</si>
  <si>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</si>
  <si>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</si>
  <si>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</si>
  <si>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</si>
  <si>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</si>
  <si>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</si>
  <si>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</si>
  <si>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</si>
  <si>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</si>
  <si>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</si>
  <si>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</si>
  <si>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</si>
  <si>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</si>
  <si>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</si>
  <si>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</si>
  <si>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</si>
  <si>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</si>
  <si>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</si>
  <si>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</si>
  <si>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</si>
  <si>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</si>
  <si>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</si>
  <si>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</si>
  <si>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</si>
  <si>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</si>
  <si>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</si>
  <si>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</si>
  <si>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</si>
  <si>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</si>
  <si>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</si>
  <si>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</si>
  <si>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</si>
  <si>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</si>
  <si>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</si>
  <si>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</si>
  <si>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</si>
  <si>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</si>
  <si>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</si>
  <si>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</si>
  <si>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</si>
  <si>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</si>
  <si>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</si>
  <si>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</si>
  <si>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</si>
  <si>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</si>
  <si>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</si>
  <si>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</si>
  <si>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</si>
  <si>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</si>
  <si>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</si>
  <si>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</si>
  <si>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</si>
  <si>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</si>
  <si>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</si>
  <si>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</si>
  <si>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</si>
  <si>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</si>
  <si>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</si>
  <si>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</si>
  <si>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</si>
  <si>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</si>
  <si>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</si>
  <si>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</si>
  <si>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</si>
  <si>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</si>
  <si>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</si>
  <si>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</si>
  <si>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</si>
  <si>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</si>
  <si>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</si>
  <si>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</si>
  <si>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</si>
  <si>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</si>
  <si>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</si>
  <si>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</si>
  <si>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</si>
  <si>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</si>
  <si>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</si>
  <si>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</si>
  <si>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</si>
  <si>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</si>
  <si>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</si>
  <si>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</si>
  <si>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</si>
  <si>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</si>
  <si>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</si>
  <si>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</si>
  <si>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</si>
  <si>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</si>
  <si>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</si>
  <si>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</si>
  <si>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</si>
  <si>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</si>
  <si>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</si>
  <si>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</si>
  <si>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</si>
  <si>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</si>
  <si>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</si>
  <si>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</si>
  <si>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</si>
  <si>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</si>
  <si>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</si>
  <si>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</si>
  <si>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</si>
  <si>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</si>
  <si>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</si>
  <si>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</si>
  <si>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</si>
  <si>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</si>
  <si>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</si>
  <si>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</si>
  <si>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</si>
  <si>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</si>
  <si>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</si>
  <si>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</si>
  <si>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</si>
  <si>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</si>
  <si>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</si>
  <si>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</si>
  <si>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</si>
  <si>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</si>
  <si>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</si>
  <si>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</si>
  <si>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</si>
  <si>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</si>
  <si>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</si>
  <si>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</si>
  <si>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</si>
  <si>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</si>
  <si>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</si>
  <si>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</si>
  <si>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</si>
  <si>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</si>
  <si>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</si>
  <si>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</si>
  <si>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</si>
  <si>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</si>
  <si>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</si>
  <si>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</si>
  <si>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</si>
  <si>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</si>
  <si>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</si>
  <si>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</si>
  <si>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</si>
  <si>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</si>
  <si>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</si>
  <si>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</si>
  <si>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</si>
  <si>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</si>
  <si>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</si>
  <si>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</si>
  <si>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</si>
  <si>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</si>
  <si>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</si>
  <si>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</si>
  <si>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</si>
  <si>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</si>
  <si>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</si>
  <si>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</si>
  <si>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</si>
  <si>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</si>
  <si>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</si>
  <si>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</si>
  <si>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</si>
  <si>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</si>
  <si>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</si>
  <si>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</si>
  <si>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</si>
  <si>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</si>
  <si>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</si>
  <si>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</si>
  <si>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</si>
  <si>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</si>
  <si>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</si>
  <si>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</si>
  <si>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</si>
  <si>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</si>
  <si>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</si>
  <si>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</si>
  <si>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</si>
  <si>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</si>
  <si>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</si>
  <si>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</si>
  <si>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</si>
  <si>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</si>
  <si>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</si>
  <si>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</si>
  <si>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</si>
  <si>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</si>
  <si>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</si>
  <si>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</si>
  <si>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</si>
  <si>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</si>
  <si>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</si>
  <si>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</si>
  <si>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</si>
  <si>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</si>
  <si>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</si>
  <si>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</si>
  <si>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</si>
  <si>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</si>
  <si>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</si>
  <si>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</si>
  <si>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</si>
  <si>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</si>
  <si>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</si>
  <si>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</si>
  <si>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</si>
  <si>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</si>
  <si>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</si>
  <si>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</si>
  <si>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</si>
  <si>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</si>
  <si>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</si>
  <si>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</si>
  <si>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</si>
  <si>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</si>
  <si>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</si>
  <si>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</si>
  <si>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</si>
  <si>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</si>
  <si>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</si>
  <si>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</si>
  <si>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</si>
  <si>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</si>
  <si>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</si>
  <si>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</si>
  <si>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</si>
  <si>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</si>
  <si>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</si>
  <si>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</si>
  <si>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</si>
  <si>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</si>
  <si>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</si>
  <si>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</si>
  <si>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</si>
  <si>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</si>
  <si>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</si>
  <si>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</si>
  <si>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</si>
  <si>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</si>
  <si>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</si>
  <si>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</si>
  <si>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</si>
  <si>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</si>
  <si>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</si>
  <si>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</si>
  <si>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</si>
  <si>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</si>
  <si>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</si>
  <si>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</si>
  <si>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</si>
  <si>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</si>
  <si>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</si>
  <si>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</si>
  <si>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</si>
  <si>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</si>
  <si>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</si>
  <si>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</si>
  <si>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</si>
  <si>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</si>
  <si>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</si>
  <si>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</si>
  <si>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</si>
  <si>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</si>
  <si>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</si>
  <si>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</si>
  <si>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</si>
  <si>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</si>
  <si>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</si>
  <si>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</si>
  <si>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</si>
  <si>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</si>
  <si>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</si>
  <si>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</si>
  <si>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</si>
  <si>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</si>
  <si>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</si>
  <si>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</si>
  <si>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</si>
  <si>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</si>
  <si>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</si>
  <si>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</si>
  <si>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</si>
  <si>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</si>
  <si>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</si>
  <si>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</si>
  <si>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</si>
  <si>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</si>
  <si>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</si>
  <si>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</si>
  <si>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</si>
  <si>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</si>
  <si>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</si>
  <si>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</si>
  <si>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</si>
  <si>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</si>
  <si>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</si>
  <si>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</si>
  <si>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</si>
  <si>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</si>
  <si>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</si>
  <si>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</si>
  <si>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</si>
  <si>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</si>
  <si>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</si>
  <si>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</si>
  <si>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</si>
  <si>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</si>
  <si>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</si>
  <si>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</si>
  <si>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</si>
  <si>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</si>
  <si>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</si>
  <si>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</si>
  <si>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</si>
  <si>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</si>
  <si>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</si>
  <si>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</si>
  <si>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</si>
  <si>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</si>
  <si>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</si>
  <si>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</si>
  <si>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</si>
  <si>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</si>
  <si>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</si>
  <si>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</si>
  <si>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</si>
  <si>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</si>
  <si>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</si>
  <si>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</si>
  <si>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</si>
  <si>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</si>
  <si>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</si>
  <si>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</si>
  <si>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</si>
  <si>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</si>
  <si>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</si>
  <si>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</si>
  <si>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</si>
  <si>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</si>
  <si>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</si>
  <si>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</si>
  <si>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</si>
  <si>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</si>
  <si>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</si>
  <si>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</si>
  <si>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</si>
  <si>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</si>
  <si>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</si>
  <si>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</si>
  <si>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</si>
  <si>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</si>
  <si>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</si>
  <si>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</si>
  <si>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</si>
  <si>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</si>
  <si>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</si>
  <si>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</si>
  <si>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</si>
  <si>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</si>
  <si>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</si>
  <si>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</si>
  <si>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</si>
  <si>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</si>
  <si>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</si>
  <si>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</si>
  <si>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</si>
  <si>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</si>
  <si>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</si>
  <si>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</si>
  <si>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</si>
  <si>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</si>
  <si>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</si>
  <si>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</si>
  <si>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</si>
  <si>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</si>
  <si>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</si>
  <si>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</si>
  <si>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</si>
  <si>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</si>
  <si>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</si>
  <si>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</si>
  <si>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</si>
  <si>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</si>
  <si>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</si>
  <si>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</si>
  <si>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</si>
  <si>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</si>
  <si>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</si>
  <si>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</si>
  <si>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</si>
  <si>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</si>
  <si>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</si>
  <si>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</si>
  <si>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</si>
  <si>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</si>
  <si>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</si>
  <si>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</si>
  <si>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</si>
  <si>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</si>
  <si>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</si>
  <si>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</si>
  <si>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</si>
  <si>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</si>
  <si>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</si>
  <si>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</si>
  <si>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</si>
  <si>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</si>
  <si>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</si>
  <si>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</si>
  <si>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</si>
  <si>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</si>
  <si>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</si>
  <si>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</si>
  <si>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</si>
  <si>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</si>
  <si>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</si>
  <si>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</si>
  <si>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</si>
  <si>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</si>
  <si>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</si>
  <si>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</si>
  <si>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</si>
  <si>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</si>
  <si>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</si>
  <si>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</si>
  <si>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</si>
  <si>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</si>
  <si>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</si>
  <si>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</si>
  <si>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</si>
  <si>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</si>
  <si>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</si>
  <si>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</si>
  <si>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</si>
  <si>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</si>
  <si>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</si>
  <si>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</si>
  <si>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</si>
  <si>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</si>
  <si>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</si>
  <si>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</si>
  <si>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</si>
  <si>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</si>
  <si>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</si>
  <si>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</si>
  <si>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</si>
  <si>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</si>
  <si>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</si>
  <si>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</si>
  <si>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</si>
  <si>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</si>
  <si>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</si>
  <si>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</si>
  <si>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</si>
  <si>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</si>
  <si>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</si>
  <si>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</si>
  <si>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</si>
  <si>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</si>
  <si>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</si>
  <si>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</si>
  <si>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</si>
  <si>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</si>
  <si>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</si>
  <si>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</si>
  <si>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</si>
  <si>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</si>
  <si>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</si>
  <si>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</si>
  <si>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</si>
  <si>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</si>
  <si>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</si>
  <si>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</si>
  <si>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</si>
  <si>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</si>
  <si>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</si>
  <si>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</si>
  <si>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</si>
  <si>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</si>
  <si>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</si>
  <si>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</si>
  <si>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</si>
  <si>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</si>
  <si>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</si>
  <si>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</si>
  <si>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</si>
  <si>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</si>
  <si>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</si>
  <si>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</si>
  <si>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</si>
  <si>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</si>
  <si>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</si>
  <si>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</si>
  <si>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</si>
  <si>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</si>
  <si>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</si>
  <si>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</si>
  <si>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</si>
  <si>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</si>
  <si>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</si>
  <si>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</si>
  <si>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</si>
  <si>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</si>
  <si>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</si>
  <si>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</si>
  <si>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</si>
  <si>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</si>
  <si>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</si>
  <si>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</si>
  <si>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</si>
  <si>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</si>
  <si>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</si>
  <si>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</si>
  <si>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</si>
  <si>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</si>
  <si>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</si>
  <si>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</si>
  <si>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</si>
  <si>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</si>
  <si>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</si>
  <si>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</si>
  <si>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</si>
  <si>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</si>
  <si>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</si>
  <si>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</si>
  <si>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</si>
  <si>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</si>
  <si>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</si>
  <si>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</si>
  <si>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</si>
  <si>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</si>
  <si>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</si>
  <si>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</si>
  <si>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</si>
  <si>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</si>
  <si>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</si>
  <si>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</si>
  <si>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</si>
  <si>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</si>
  <si>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</si>
  <si>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</si>
  <si>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</si>
  <si>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</si>
  <si>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</si>
  <si>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</si>
  <si>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</si>
  <si>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</si>
  <si>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</si>
  <si>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</si>
  <si>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</si>
  <si>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</si>
  <si>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</si>
  <si>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</si>
  <si>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</si>
  <si>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</si>
  <si>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</si>
  <si>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</si>
  <si>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</si>
  <si>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</si>
  <si>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</si>
  <si>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</si>
  <si>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</si>
  <si>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</si>
  <si>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</si>
  <si>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</si>
  <si>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</si>
  <si>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</si>
  <si>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</si>
  <si>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</si>
  <si>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</si>
  <si>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</si>
  <si>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</si>
  <si>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</si>
  <si>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</si>
  <si>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</si>
  <si>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</si>
  <si>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</si>
  <si>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</si>
  <si>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</si>
  <si>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</si>
  <si>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</si>
  <si>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</si>
  <si>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</si>
  <si>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</si>
  <si>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</si>
  <si>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</si>
  <si>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</si>
  <si>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</si>
  <si>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</si>
  <si>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</si>
  <si>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</si>
  <si>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</si>
  <si>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</si>
  <si>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</si>
  <si>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</si>
  <si>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</si>
  <si>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</si>
  <si>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</si>
  <si>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</si>
  <si>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</si>
  <si>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</si>
  <si>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</si>
  <si>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</si>
  <si>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</si>
  <si>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</si>
  <si>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</si>
  <si>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</si>
  <si>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</si>
  <si>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</si>
  <si>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</si>
  <si>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</si>
  <si>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</si>
  <si>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</si>
  <si>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</si>
  <si>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</si>
  <si>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</si>
  <si>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</si>
  <si>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</si>
  <si>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</si>
  <si>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</si>
  <si>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</si>
  <si>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</si>
  <si>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</si>
  <si>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</si>
  <si>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</si>
  <si>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</si>
  <si>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</si>
  <si>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</si>
  <si>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</si>
  <si>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</si>
  <si>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</si>
  <si>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</si>
  <si>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</si>
  <si>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</si>
  <si>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</si>
  <si>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</si>
  <si>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</si>
  <si>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</si>
  <si>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</si>
  <si>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</si>
  <si>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</si>
  <si>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</si>
  <si>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</si>
  <si>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</si>
  <si>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</si>
  <si>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</si>
  <si>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</si>
  <si>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</si>
  <si>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</si>
  <si>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</si>
  <si>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</si>
  <si>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</si>
  <si>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</si>
  <si>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</si>
  <si>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</si>
  <si>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</si>
  <si>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</si>
  <si>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</si>
  <si>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</si>
  <si>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</si>
  <si>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</si>
  <si>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</si>
  <si>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</si>
  <si>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</si>
  <si>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</si>
  <si>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</si>
  <si>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</si>
  <si>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</si>
  <si>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</si>
  <si>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</si>
  <si>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</si>
  <si>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</si>
  <si>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</si>
  <si>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</si>
  <si>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</si>
  <si>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</si>
  <si>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</si>
  <si>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</si>
  <si>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</si>
  <si>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</si>
  <si>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</si>
  <si>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</si>
  <si>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</si>
  <si>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</si>
  <si>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</si>
  <si>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</si>
  <si>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</si>
  <si>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</si>
  <si>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</si>
  <si>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</si>
  <si>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</si>
  <si>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</si>
  <si>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</si>
  <si>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</si>
  <si>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12021</t>
  </si>
  <si>
    <t>LIER</t>
  </si>
  <si>
    <t>Paarden&amp;pony's 200 - 600 kg</t>
  </si>
  <si>
    <t>Paarden&amp;pony's &lt; 200 kg</t>
  </si>
  <si>
    <t>Fluvius</t>
  </si>
  <si>
    <t>referentietaak LNE (2017); Jaarverslag De Lijn</t>
  </si>
  <si>
    <t>Costermans Marc</t>
  </si>
  <si>
    <t>Beekstraat 104, 2500 Koningshooikt</t>
  </si>
  <si>
    <t>WKK-0100 Costermans Marc</t>
  </si>
  <si>
    <t>interne verbrandingsmotor</t>
  </si>
  <si>
    <t>WKK interne verbrandinsgmotor (gas)</t>
  </si>
  <si>
    <t>IVEKA</t>
  </si>
  <si>
    <t>Marc Pittoors</t>
  </si>
  <si>
    <t>Donderheide 35, 2500 Koningshooikt</t>
  </si>
  <si>
    <t>WKK-0055 Marc Pittoors</t>
  </si>
  <si>
    <t>De Becker Elektrogroep</t>
  </si>
  <si>
    <t>Z.4 Broekooi 300, 1730 Asse</t>
  </si>
  <si>
    <t>WKK-0157 Alex Baelus</t>
  </si>
  <si>
    <t>Bremstraat 35, 2500 Lier</t>
  </si>
  <si>
    <t>Fikoplant en Konaplant</t>
  </si>
  <si>
    <t>Tallaart 58 , 2500 Koningshooikt</t>
  </si>
  <si>
    <t>WKK-0201 Fikoplant en Konaplant</t>
  </si>
  <si>
    <t>Tallaart 46 , 2500 Koningshooikt</t>
  </si>
  <si>
    <t>Vanlommel-Vanreusel</t>
  </si>
  <si>
    <t>Heistraat 31 A , 2500 Lier</t>
  </si>
  <si>
    <t>WKK-0193 Vanlommel-Vanreusel</t>
  </si>
  <si>
    <t>Heirstraat 31 b1 , 2500 Lier</t>
  </si>
  <si>
    <t>Groeikracht Hooikt NV</t>
  </si>
  <si>
    <t>Haagstraat 5a , 2500 Koningshooikt</t>
  </si>
  <si>
    <t>WKK-0204 Groeikracht Hooikt</t>
  </si>
  <si>
    <t>Anne Mortelmans</t>
  </si>
  <si>
    <t>Maaikeneveld 47 , 2500 Lier</t>
  </si>
  <si>
    <t>WKK-0351 Anne Mortelmans</t>
  </si>
  <si>
    <t>Danny Dens</t>
  </si>
  <si>
    <t>Beekstraat 114 , 2500 Koningshooikt</t>
  </si>
  <si>
    <t>WKK-0199 Danny Dens</t>
  </si>
  <si>
    <t>WKK interne verbrandinsgmotor (vloeibaar)</t>
  </si>
  <si>
    <t>De Becker Electrogroep</t>
  </si>
  <si>
    <t>Breker 13, 1730 Asse</t>
  </si>
  <si>
    <t>BMS-0056 Alex Baelus Palmolie</t>
  </si>
  <si>
    <t>biomassa uit land- of bosbouw</t>
  </si>
  <si>
    <t>niet WKK interne verbrandingsmotor (vloeibaar)</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</si>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</sst>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12021</v>
      </c>
      <c r="B6" s="386"/>
      <c r="C6" s="387"/>
    </row>
    <row r="7" spans="1:7" s="384" customFormat="1" ht="15.75" customHeight="1">
      <c r="A7" s="388" t="str">
        <f>txtMunicipality</f>
        <v>LIER</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60378.10415801574</v>
      </c>
      <c r="D10" s="676">
        <f ca="1">tertiair!C16</f>
        <v>0</v>
      </c>
      <c r="E10" s="676">
        <f ca="1">tertiair!D16</f>
        <v>67830.655405231882</v>
      </c>
      <c r="F10" s="676">
        <f>tertiair!E16</f>
        <v>559.14290853291402</v>
      </c>
      <c r="G10" s="676">
        <f ca="1">tertiair!F16</f>
        <v>12425.894592777568</v>
      </c>
      <c r="H10" s="676">
        <f>tertiair!G16</f>
        <v>0</v>
      </c>
      <c r="I10" s="676">
        <f>tertiair!H16</f>
        <v>0</v>
      </c>
      <c r="J10" s="676">
        <f>tertiair!I16</f>
        <v>0</v>
      </c>
      <c r="K10" s="676">
        <f>tertiair!J16</f>
        <v>0</v>
      </c>
      <c r="L10" s="676">
        <f>tertiair!K16</f>
        <v>0</v>
      </c>
      <c r="M10" s="676">
        <f ca="1">tertiair!L16</f>
        <v>0</v>
      </c>
      <c r="N10" s="676">
        <f>tertiair!M16</f>
        <v>0</v>
      </c>
      <c r="O10" s="676">
        <f ca="1">tertiair!N16</f>
        <v>4672.6330561207978</v>
      </c>
      <c r="P10" s="676">
        <f>tertiair!O16</f>
        <v>3.1266666666666669</v>
      </c>
      <c r="Q10" s="677">
        <f>tertiair!P16</f>
        <v>95.333333333333343</v>
      </c>
      <c r="R10" s="679">
        <f ca="1">SUM(C10:Q10)</f>
        <v>145964.89012067893</v>
      </c>
      <c r="S10" s="68"/>
    </row>
    <row r="11" spans="1:19" s="445" customFormat="1">
      <c r="A11" s="791" t="s">
        <v>220</v>
      </c>
      <c r="B11" s="796"/>
      <c r="C11" s="676">
        <f>huishoudens!B8</f>
        <v>60939.751313734334</v>
      </c>
      <c r="D11" s="676">
        <f>huishoudens!C8</f>
        <v>0</v>
      </c>
      <c r="E11" s="676">
        <f>huishoudens!D8</f>
        <v>180165.19217785244</v>
      </c>
      <c r="F11" s="676">
        <f>huishoudens!E8</f>
        <v>1886.1678806875791</v>
      </c>
      <c r="G11" s="676">
        <f>huishoudens!F8</f>
        <v>57503.782578761922</v>
      </c>
      <c r="H11" s="676">
        <f>huishoudens!G8</f>
        <v>0</v>
      </c>
      <c r="I11" s="676">
        <f>huishoudens!H8</f>
        <v>0</v>
      </c>
      <c r="J11" s="676">
        <f>huishoudens!I8</f>
        <v>0</v>
      </c>
      <c r="K11" s="676">
        <f>huishoudens!J8</f>
        <v>1043.3860979381586</v>
      </c>
      <c r="L11" s="676">
        <f>huishoudens!K8</f>
        <v>0</v>
      </c>
      <c r="M11" s="676">
        <f>huishoudens!L8</f>
        <v>0</v>
      </c>
      <c r="N11" s="676">
        <f>huishoudens!M8</f>
        <v>0</v>
      </c>
      <c r="O11" s="676">
        <f>huishoudens!N8</f>
        <v>20503.643576722225</v>
      </c>
      <c r="P11" s="676">
        <f>huishoudens!O8</f>
        <v>129.75666666666669</v>
      </c>
      <c r="Q11" s="677">
        <f>huishoudens!P8</f>
        <v>362.26666666666665</v>
      </c>
      <c r="R11" s="679">
        <f>SUM(C11:Q11)</f>
        <v>322533.94695903</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55098.357981501329</v>
      </c>
      <c r="D13" s="676">
        <f>industrie!C18</f>
        <v>0</v>
      </c>
      <c r="E13" s="676">
        <f>industrie!D18</f>
        <v>46684.432343930239</v>
      </c>
      <c r="F13" s="676">
        <f>industrie!E18</f>
        <v>645.42169816452861</v>
      </c>
      <c r="G13" s="676">
        <f>industrie!F18</f>
        <v>10052.297689405226</v>
      </c>
      <c r="H13" s="676">
        <f>industrie!G18</f>
        <v>0</v>
      </c>
      <c r="I13" s="676">
        <f>industrie!H18</f>
        <v>0</v>
      </c>
      <c r="J13" s="676">
        <f>industrie!I18</f>
        <v>0</v>
      </c>
      <c r="K13" s="676">
        <f>industrie!J18</f>
        <v>558.15323238478379</v>
      </c>
      <c r="L13" s="676">
        <f>industrie!K18</f>
        <v>0</v>
      </c>
      <c r="M13" s="676">
        <f>industrie!L18</f>
        <v>0</v>
      </c>
      <c r="N13" s="676">
        <f>industrie!M18</f>
        <v>0</v>
      </c>
      <c r="O13" s="676">
        <f>industrie!N18</f>
        <v>3049.1100449825158</v>
      </c>
      <c r="P13" s="676">
        <f>industrie!O18</f>
        <v>0</v>
      </c>
      <c r="Q13" s="677">
        <f>industrie!P18</f>
        <v>0</v>
      </c>
      <c r="R13" s="679">
        <f>SUM(C13:Q13)</f>
        <v>116087.77299036861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176416.2134532514</v>
      </c>
      <c r="D16" s="709">
        <f t="shared" ref="D16:R16" ca="1" si="0">SUM(D9:D15)</f>
        <v>0</v>
      </c>
      <c r="E16" s="709">
        <f t="shared" ca="1" si="0"/>
        <v>294680.27992701455</v>
      </c>
      <c r="F16" s="709">
        <f t="shared" si="0"/>
        <v>3090.7324873850216</v>
      </c>
      <c r="G16" s="709">
        <f t="shared" ca="1" si="0"/>
        <v>79981.974860944712</v>
      </c>
      <c r="H16" s="709">
        <f t="shared" si="0"/>
        <v>0</v>
      </c>
      <c r="I16" s="709">
        <f t="shared" si="0"/>
        <v>0</v>
      </c>
      <c r="J16" s="709">
        <f t="shared" si="0"/>
        <v>0</v>
      </c>
      <c r="K16" s="709">
        <f t="shared" si="0"/>
        <v>1601.5393303229425</v>
      </c>
      <c r="L16" s="709">
        <f t="shared" si="0"/>
        <v>0</v>
      </c>
      <c r="M16" s="709">
        <f t="shared" ca="1" si="0"/>
        <v>0</v>
      </c>
      <c r="N16" s="709">
        <f t="shared" si="0"/>
        <v>0</v>
      </c>
      <c r="O16" s="709">
        <f t="shared" ca="1" si="0"/>
        <v>28225.38667782554</v>
      </c>
      <c r="P16" s="709">
        <f t="shared" si="0"/>
        <v>132.88333333333335</v>
      </c>
      <c r="Q16" s="709">
        <f t="shared" si="0"/>
        <v>457.6</v>
      </c>
      <c r="R16" s="709">
        <f t="shared" ca="1" si="0"/>
        <v>584586.61007007759</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24.602116716117852</v>
      </c>
      <c r="D19" s="676">
        <f>transport!C54</f>
        <v>0</v>
      </c>
      <c r="E19" s="676">
        <f>transport!D54</f>
        <v>0</v>
      </c>
      <c r="F19" s="676">
        <f>transport!E54</f>
        <v>0</v>
      </c>
      <c r="G19" s="676">
        <f>transport!F54</f>
        <v>0</v>
      </c>
      <c r="H19" s="676">
        <f>transport!G54</f>
        <v>4906.9406837105098</v>
      </c>
      <c r="I19" s="676">
        <f>transport!H54</f>
        <v>0</v>
      </c>
      <c r="J19" s="676">
        <f>transport!I54</f>
        <v>0</v>
      </c>
      <c r="K19" s="676">
        <f>transport!J54</f>
        <v>0</v>
      </c>
      <c r="L19" s="676">
        <f>transport!K54</f>
        <v>0</v>
      </c>
      <c r="M19" s="676">
        <f>transport!L54</f>
        <v>0</v>
      </c>
      <c r="N19" s="676">
        <f>transport!M54</f>
        <v>216.88155203481176</v>
      </c>
      <c r="O19" s="676">
        <f>transport!N54</f>
        <v>0</v>
      </c>
      <c r="P19" s="676">
        <f>transport!O54</f>
        <v>0</v>
      </c>
      <c r="Q19" s="677">
        <f>transport!P54</f>
        <v>0</v>
      </c>
      <c r="R19" s="679">
        <f>SUM(C19:Q19)</f>
        <v>5148.4243524614394</v>
      </c>
      <c r="S19" s="68"/>
    </row>
    <row r="20" spans="1:19" s="445" customFormat="1">
      <c r="A20" s="791" t="s">
        <v>302</v>
      </c>
      <c r="B20" s="796"/>
      <c r="C20" s="676">
        <f>transport!B14</f>
        <v>7.8865261817679633</v>
      </c>
      <c r="D20" s="676">
        <f>transport!C14</f>
        <v>0</v>
      </c>
      <c r="E20" s="676">
        <f>transport!D14</f>
        <v>9.3096835180297539</v>
      </c>
      <c r="F20" s="676">
        <f>transport!E14</f>
        <v>599.46967181158539</v>
      </c>
      <c r="G20" s="676">
        <f>transport!F14</f>
        <v>0</v>
      </c>
      <c r="H20" s="676">
        <f>transport!G14</f>
        <v>148496.39185015709</v>
      </c>
      <c r="I20" s="676">
        <f>transport!H14</f>
        <v>22560.540353865264</v>
      </c>
      <c r="J20" s="676">
        <f>transport!I14</f>
        <v>0</v>
      </c>
      <c r="K20" s="676">
        <f>transport!J14</f>
        <v>0</v>
      </c>
      <c r="L20" s="676">
        <f>transport!K14</f>
        <v>0</v>
      </c>
      <c r="M20" s="676">
        <f>transport!L14</f>
        <v>0</v>
      </c>
      <c r="N20" s="676">
        <f>transport!M14</f>
        <v>7640.8377466292341</v>
      </c>
      <c r="O20" s="676">
        <f>transport!N14</f>
        <v>0</v>
      </c>
      <c r="P20" s="676">
        <f>transport!O14</f>
        <v>0</v>
      </c>
      <c r="Q20" s="677">
        <f>transport!P14</f>
        <v>0</v>
      </c>
      <c r="R20" s="679">
        <f>SUM(C20:Q20)</f>
        <v>179314.43583216297</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32.488642897885818</v>
      </c>
      <c r="D22" s="794">
        <f t="shared" ref="D22:R22" si="1">SUM(D18:D21)</f>
        <v>0</v>
      </c>
      <c r="E22" s="794">
        <f t="shared" si="1"/>
        <v>9.3096835180297539</v>
      </c>
      <c r="F22" s="794">
        <f t="shared" si="1"/>
        <v>599.46967181158539</v>
      </c>
      <c r="G22" s="794">
        <f t="shared" si="1"/>
        <v>0</v>
      </c>
      <c r="H22" s="794">
        <f t="shared" si="1"/>
        <v>153403.33253386759</v>
      </c>
      <c r="I22" s="794">
        <f t="shared" si="1"/>
        <v>22560.540353865264</v>
      </c>
      <c r="J22" s="794">
        <f t="shared" si="1"/>
        <v>0</v>
      </c>
      <c r="K22" s="794">
        <f t="shared" si="1"/>
        <v>0</v>
      </c>
      <c r="L22" s="794">
        <f t="shared" si="1"/>
        <v>0</v>
      </c>
      <c r="M22" s="794">
        <f t="shared" si="1"/>
        <v>0</v>
      </c>
      <c r="N22" s="794">
        <f t="shared" si="1"/>
        <v>7857.7192986640457</v>
      </c>
      <c r="O22" s="794">
        <f t="shared" si="1"/>
        <v>0</v>
      </c>
      <c r="P22" s="794">
        <f t="shared" si="1"/>
        <v>0</v>
      </c>
      <c r="Q22" s="794">
        <f t="shared" si="1"/>
        <v>0</v>
      </c>
      <c r="R22" s="794">
        <f t="shared" si="1"/>
        <v>184462.86018462441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3474.8780349655162</v>
      </c>
      <c r="D24" s="676">
        <f>+landbouw!C8</f>
        <v>92120.78571428571</v>
      </c>
      <c r="E24" s="676">
        <f>+landbouw!D8</f>
        <v>19583.918532545125</v>
      </c>
      <c r="F24" s="676">
        <f>+landbouw!E8</f>
        <v>32.735679334032227</v>
      </c>
      <c r="G24" s="676">
        <f>+landbouw!F8</f>
        <v>3847.1802388335564</v>
      </c>
      <c r="H24" s="676">
        <f>+landbouw!G8</f>
        <v>0</v>
      </c>
      <c r="I24" s="676">
        <f>+landbouw!H8</f>
        <v>0</v>
      </c>
      <c r="J24" s="676">
        <f>+landbouw!I8</f>
        <v>0</v>
      </c>
      <c r="K24" s="676">
        <f>+landbouw!J8</f>
        <v>429.85931472874972</v>
      </c>
      <c r="L24" s="676">
        <f>+landbouw!K8</f>
        <v>0</v>
      </c>
      <c r="M24" s="676">
        <f>+landbouw!L8</f>
        <v>0</v>
      </c>
      <c r="N24" s="676">
        <f>+landbouw!M8</f>
        <v>0</v>
      </c>
      <c r="O24" s="676">
        <f>+landbouw!N8</f>
        <v>0</v>
      </c>
      <c r="P24" s="676">
        <f>+landbouw!O8</f>
        <v>0</v>
      </c>
      <c r="Q24" s="677">
        <f>+landbouw!P8</f>
        <v>0</v>
      </c>
      <c r="R24" s="679">
        <f>SUM(C24:Q24)</f>
        <v>119489.35751469269</v>
      </c>
      <c r="S24" s="68"/>
    </row>
    <row r="25" spans="1:19" s="445" customFormat="1" ht="15" thickBot="1">
      <c r="A25" s="813" t="s">
        <v>879</v>
      </c>
      <c r="B25" s="979"/>
      <c r="C25" s="980">
        <f>IF(Onbekend_ele_kWh="---",0,Onbekend_ele_kWh)/1000+IF(REST_rest_ele_kWh="---",0,REST_rest_ele_kWh)/1000</f>
        <v>2657.18283005283</v>
      </c>
      <c r="D25" s="980"/>
      <c r="E25" s="980">
        <f>IF(onbekend_gas_kWh="---",0,onbekend_gas_kWh)/1000+IF(REST_rest_gas_kWh="---",0,REST_rest_gas_kWh)/1000</f>
        <v>8949.1135946274899</v>
      </c>
      <c r="F25" s="980"/>
      <c r="G25" s="980"/>
      <c r="H25" s="980"/>
      <c r="I25" s="980"/>
      <c r="J25" s="980"/>
      <c r="K25" s="980"/>
      <c r="L25" s="980"/>
      <c r="M25" s="980"/>
      <c r="N25" s="980"/>
      <c r="O25" s="980"/>
      <c r="P25" s="980"/>
      <c r="Q25" s="981"/>
      <c r="R25" s="679">
        <f>SUM(C25:Q25)</f>
        <v>11606.29642468032</v>
      </c>
      <c r="S25" s="68"/>
    </row>
    <row r="26" spans="1:19" s="445" customFormat="1" ht="15.75" thickBot="1">
      <c r="A26" s="682" t="s">
        <v>880</v>
      </c>
      <c r="B26" s="799"/>
      <c r="C26" s="794">
        <f>SUM(C24:C25)</f>
        <v>6132.0608650183458</v>
      </c>
      <c r="D26" s="794">
        <f t="shared" ref="D26:R26" si="2">SUM(D24:D25)</f>
        <v>92120.78571428571</v>
      </c>
      <c r="E26" s="794">
        <f t="shared" si="2"/>
        <v>28533.032127172613</v>
      </c>
      <c r="F26" s="794">
        <f t="shared" si="2"/>
        <v>32.735679334032227</v>
      </c>
      <c r="G26" s="794">
        <f t="shared" si="2"/>
        <v>3847.1802388335564</v>
      </c>
      <c r="H26" s="794">
        <f t="shared" si="2"/>
        <v>0</v>
      </c>
      <c r="I26" s="794">
        <f t="shared" si="2"/>
        <v>0</v>
      </c>
      <c r="J26" s="794">
        <f t="shared" si="2"/>
        <v>0</v>
      </c>
      <c r="K26" s="794">
        <f t="shared" si="2"/>
        <v>429.85931472874972</v>
      </c>
      <c r="L26" s="794">
        <f t="shared" si="2"/>
        <v>0</v>
      </c>
      <c r="M26" s="794">
        <f t="shared" si="2"/>
        <v>0</v>
      </c>
      <c r="N26" s="794">
        <f t="shared" si="2"/>
        <v>0</v>
      </c>
      <c r="O26" s="794">
        <f t="shared" si="2"/>
        <v>0</v>
      </c>
      <c r="P26" s="794">
        <f t="shared" si="2"/>
        <v>0</v>
      </c>
      <c r="Q26" s="794">
        <f t="shared" si="2"/>
        <v>0</v>
      </c>
      <c r="R26" s="794">
        <f t="shared" si="2"/>
        <v>131095.65393937301</v>
      </c>
      <c r="S26" s="68"/>
    </row>
    <row r="27" spans="1:19" s="445" customFormat="1" ht="17.25" thickTop="1" thickBot="1">
      <c r="A27" s="683" t="s">
        <v>115</v>
      </c>
      <c r="B27" s="786"/>
      <c r="C27" s="684">
        <f ca="1">C22+C16+C26</f>
        <v>182580.76296116764</v>
      </c>
      <c r="D27" s="684">
        <f t="shared" ref="D27:R27" ca="1" si="3">D22+D16+D26</f>
        <v>92120.78571428571</v>
      </c>
      <c r="E27" s="684">
        <f t="shared" ca="1" si="3"/>
        <v>323222.62173770519</v>
      </c>
      <c r="F27" s="684">
        <f t="shared" si="3"/>
        <v>3722.9378385306391</v>
      </c>
      <c r="G27" s="684">
        <f t="shared" ca="1" si="3"/>
        <v>83829.155099778262</v>
      </c>
      <c r="H27" s="684">
        <f t="shared" si="3"/>
        <v>153403.33253386759</v>
      </c>
      <c r="I27" s="684">
        <f t="shared" si="3"/>
        <v>22560.540353865264</v>
      </c>
      <c r="J27" s="684">
        <f t="shared" si="3"/>
        <v>0</v>
      </c>
      <c r="K27" s="684">
        <f t="shared" si="3"/>
        <v>2031.3986450516923</v>
      </c>
      <c r="L27" s="684">
        <f t="shared" si="3"/>
        <v>0</v>
      </c>
      <c r="M27" s="684">
        <f t="shared" ca="1" si="3"/>
        <v>0</v>
      </c>
      <c r="N27" s="684">
        <f t="shared" si="3"/>
        <v>7857.7192986640457</v>
      </c>
      <c r="O27" s="684">
        <f t="shared" ca="1" si="3"/>
        <v>28225.38667782554</v>
      </c>
      <c r="P27" s="684">
        <f t="shared" si="3"/>
        <v>132.88333333333335</v>
      </c>
      <c r="Q27" s="684">
        <f t="shared" si="3"/>
        <v>457.6</v>
      </c>
      <c r="R27" s="684">
        <f t="shared" ca="1" si="3"/>
        <v>900145.124194075</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11347.985595692748</v>
      </c>
      <c r="D40" s="676">
        <f ca="1">tertiair!C20</f>
        <v>0</v>
      </c>
      <c r="E40" s="676">
        <f ca="1">tertiair!D20</f>
        <v>13701.792391856841</v>
      </c>
      <c r="F40" s="676">
        <f>tertiair!E20</f>
        <v>126.92544023697148</v>
      </c>
      <c r="G40" s="676">
        <f ca="1">tertiair!F20</f>
        <v>3317.7138562716109</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28494.41728405817</v>
      </c>
    </row>
    <row r="41" spans="1:18">
      <c r="A41" s="804" t="s">
        <v>220</v>
      </c>
      <c r="B41" s="811"/>
      <c r="C41" s="676">
        <f ca="1">huishoudens!B12</f>
        <v>11453.546442987259</v>
      </c>
      <c r="D41" s="676">
        <f ca="1">huishoudens!C12</f>
        <v>0</v>
      </c>
      <c r="E41" s="676">
        <f>huishoudens!D12</f>
        <v>36393.368819926196</v>
      </c>
      <c r="F41" s="676">
        <f>huishoudens!E12</f>
        <v>428.16010891608045</v>
      </c>
      <c r="G41" s="676">
        <f>huishoudens!F12</f>
        <v>15353.509948529434</v>
      </c>
      <c r="H41" s="676">
        <f>huishoudens!G12</f>
        <v>0</v>
      </c>
      <c r="I41" s="676">
        <f>huishoudens!H12</f>
        <v>0</v>
      </c>
      <c r="J41" s="676">
        <f>huishoudens!I12</f>
        <v>0</v>
      </c>
      <c r="K41" s="676">
        <f>huishoudens!J12</f>
        <v>369.35867867010813</v>
      </c>
      <c r="L41" s="676">
        <f>huishoudens!K12</f>
        <v>0</v>
      </c>
      <c r="M41" s="676">
        <f>huishoudens!L12</f>
        <v>0</v>
      </c>
      <c r="N41" s="676">
        <f>huishoudens!M12</f>
        <v>0</v>
      </c>
      <c r="O41" s="676">
        <f>huishoudens!N12</f>
        <v>0</v>
      </c>
      <c r="P41" s="676">
        <f>huishoudens!O12</f>
        <v>0</v>
      </c>
      <c r="Q41" s="751">
        <f>huishoudens!P12</f>
        <v>0</v>
      </c>
      <c r="R41" s="832">
        <f t="shared" ca="1" si="4"/>
        <v>63997.943999029078</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10355.664217015519</v>
      </c>
      <c r="D43" s="676">
        <f ca="1">industrie!C22</f>
        <v>0</v>
      </c>
      <c r="E43" s="676">
        <f>industrie!D22</f>
        <v>9430.2553334739096</v>
      </c>
      <c r="F43" s="676">
        <f>industrie!E22</f>
        <v>146.51072548334801</v>
      </c>
      <c r="G43" s="676">
        <f>industrie!F22</f>
        <v>2683.9634830711957</v>
      </c>
      <c r="H43" s="676">
        <f>industrie!G22</f>
        <v>0</v>
      </c>
      <c r="I43" s="676">
        <f>industrie!H22</f>
        <v>0</v>
      </c>
      <c r="J43" s="676">
        <f>industrie!I22</f>
        <v>0</v>
      </c>
      <c r="K43" s="676">
        <f>industrie!J22</f>
        <v>197.58624426421346</v>
      </c>
      <c r="L43" s="676">
        <f>industrie!K22</f>
        <v>0</v>
      </c>
      <c r="M43" s="676">
        <f>industrie!L22</f>
        <v>0</v>
      </c>
      <c r="N43" s="676">
        <f>industrie!M22</f>
        <v>0</v>
      </c>
      <c r="O43" s="676">
        <f>industrie!N22</f>
        <v>0</v>
      </c>
      <c r="P43" s="676">
        <f>industrie!O22</f>
        <v>0</v>
      </c>
      <c r="Q43" s="751">
        <f>industrie!P22</f>
        <v>0</v>
      </c>
      <c r="R43" s="831">
        <f t="shared" ca="1" si="4"/>
        <v>22813.980003308188</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33157.196255695526</v>
      </c>
      <c r="D46" s="709">
        <f t="shared" ref="D46:Q46" ca="1" si="5">SUM(D39:D45)</f>
        <v>0</v>
      </c>
      <c r="E46" s="709">
        <f t="shared" ca="1" si="5"/>
        <v>59525.416545256943</v>
      </c>
      <c r="F46" s="709">
        <f t="shared" si="5"/>
        <v>701.59627463639993</v>
      </c>
      <c r="G46" s="709">
        <f t="shared" ca="1" si="5"/>
        <v>21355.187287872239</v>
      </c>
      <c r="H46" s="709">
        <f t="shared" si="5"/>
        <v>0</v>
      </c>
      <c r="I46" s="709">
        <f t="shared" si="5"/>
        <v>0</v>
      </c>
      <c r="J46" s="709">
        <f t="shared" si="5"/>
        <v>0</v>
      </c>
      <c r="K46" s="709">
        <f t="shared" si="5"/>
        <v>566.94492293432154</v>
      </c>
      <c r="L46" s="709">
        <f t="shared" si="5"/>
        <v>0</v>
      </c>
      <c r="M46" s="709">
        <f t="shared" ca="1" si="5"/>
        <v>0</v>
      </c>
      <c r="N46" s="709">
        <f t="shared" si="5"/>
        <v>0</v>
      </c>
      <c r="O46" s="709">
        <f t="shared" ca="1" si="5"/>
        <v>0</v>
      </c>
      <c r="P46" s="709">
        <f t="shared" si="5"/>
        <v>0</v>
      </c>
      <c r="Q46" s="709">
        <f t="shared" si="5"/>
        <v>0</v>
      </c>
      <c r="R46" s="709">
        <f ca="1">SUM(R39:R45)</f>
        <v>115306.34128639543</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4.6239356139338614</v>
      </c>
      <c r="D49" s="676">
        <f ca="1">transport!C58</f>
        <v>0</v>
      </c>
      <c r="E49" s="676">
        <f>transport!D58</f>
        <v>0</v>
      </c>
      <c r="F49" s="676">
        <f>transport!E58</f>
        <v>0</v>
      </c>
      <c r="G49" s="676">
        <f>transport!F58</f>
        <v>0</v>
      </c>
      <c r="H49" s="676">
        <f>transport!G58</f>
        <v>1310.1531625507062</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1314.7770981646399</v>
      </c>
    </row>
    <row r="50" spans="1:18">
      <c r="A50" s="807" t="s">
        <v>302</v>
      </c>
      <c r="B50" s="817"/>
      <c r="C50" s="986">
        <f ca="1">transport!B18</f>
        <v>1.4822622664092897</v>
      </c>
      <c r="D50" s="986">
        <f>transport!C18</f>
        <v>0</v>
      </c>
      <c r="E50" s="986">
        <f>transport!D18</f>
        <v>1.8805560706420104</v>
      </c>
      <c r="F50" s="986">
        <f>transport!E18</f>
        <v>136.07961550122988</v>
      </c>
      <c r="G50" s="986">
        <f>transport!F18</f>
        <v>0</v>
      </c>
      <c r="H50" s="986">
        <f>transport!G18</f>
        <v>39648.536623991946</v>
      </c>
      <c r="I50" s="986">
        <f>transport!H18</f>
        <v>5617.5745481124504</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45405.553605942681</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6.1061978803431511</v>
      </c>
      <c r="D52" s="709">
        <f t="shared" ref="D52:Q52" ca="1" si="6">SUM(D48:D51)</f>
        <v>0</v>
      </c>
      <c r="E52" s="709">
        <f t="shared" si="6"/>
        <v>1.8805560706420104</v>
      </c>
      <c r="F52" s="709">
        <f t="shared" si="6"/>
        <v>136.07961550122988</v>
      </c>
      <c r="G52" s="709">
        <f t="shared" si="6"/>
        <v>0</v>
      </c>
      <c r="H52" s="709">
        <f t="shared" si="6"/>
        <v>40958.689786542651</v>
      </c>
      <c r="I52" s="709">
        <f t="shared" si="6"/>
        <v>5617.5745481124504</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46720.33070410732</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653.09877541662968</v>
      </c>
      <c r="D54" s="986">
        <f ca="1">+landbouw!C12</f>
        <v>16855.1537891915</v>
      </c>
      <c r="E54" s="986">
        <f>+landbouw!D12</f>
        <v>3955.9515435741155</v>
      </c>
      <c r="F54" s="986">
        <f>+landbouw!E12</f>
        <v>7.4309992088253161</v>
      </c>
      <c r="G54" s="986">
        <f>+landbouw!F12</f>
        <v>1027.1971237685595</v>
      </c>
      <c r="H54" s="986">
        <f>+landbouw!G12</f>
        <v>0</v>
      </c>
      <c r="I54" s="986">
        <f>+landbouw!H12</f>
        <v>0</v>
      </c>
      <c r="J54" s="986">
        <f>+landbouw!I12</f>
        <v>0</v>
      </c>
      <c r="K54" s="986">
        <f>+landbouw!J12</f>
        <v>152.17019741397741</v>
      </c>
      <c r="L54" s="986">
        <f>+landbouw!K12</f>
        <v>0</v>
      </c>
      <c r="M54" s="986">
        <f>+landbouw!L12</f>
        <v>0</v>
      </c>
      <c r="N54" s="986">
        <f>+landbouw!M12</f>
        <v>0</v>
      </c>
      <c r="O54" s="986">
        <f>+landbouw!N12</f>
        <v>0</v>
      </c>
      <c r="P54" s="986">
        <f>+landbouw!O12</f>
        <v>0</v>
      </c>
      <c r="Q54" s="987">
        <f>+landbouw!P12</f>
        <v>0</v>
      </c>
      <c r="R54" s="708">
        <f ca="1">SUM(C54:Q54)</f>
        <v>22651.002428573607</v>
      </c>
    </row>
    <row r="55" spans="1:18" ht="15" thickBot="1">
      <c r="A55" s="807" t="s">
        <v>879</v>
      </c>
      <c r="B55" s="817"/>
      <c r="C55" s="986">
        <f ca="1">C25*'EF ele_warmte'!B12</f>
        <v>499.41403263749925</v>
      </c>
      <c r="D55" s="986"/>
      <c r="E55" s="986">
        <f>E25*EF_CO2_aardgas</f>
        <v>1807.7209461147531</v>
      </c>
      <c r="F55" s="986"/>
      <c r="G55" s="986"/>
      <c r="H55" s="986"/>
      <c r="I55" s="986"/>
      <c r="J55" s="986"/>
      <c r="K55" s="986"/>
      <c r="L55" s="986"/>
      <c r="M55" s="986"/>
      <c r="N55" s="986"/>
      <c r="O55" s="986"/>
      <c r="P55" s="986"/>
      <c r="Q55" s="987"/>
      <c r="R55" s="708">
        <f ca="1">SUM(C55:Q55)</f>
        <v>2307.1349787522522</v>
      </c>
    </row>
    <row r="56" spans="1:18" ht="15.75" thickBot="1">
      <c r="A56" s="805" t="s">
        <v>880</v>
      </c>
      <c r="B56" s="818"/>
      <c r="C56" s="709">
        <f ca="1">SUM(C54:C55)</f>
        <v>1152.512808054129</v>
      </c>
      <c r="D56" s="709">
        <f t="shared" ref="D56:Q56" ca="1" si="7">SUM(D54:D55)</f>
        <v>16855.1537891915</v>
      </c>
      <c r="E56" s="709">
        <f t="shared" si="7"/>
        <v>5763.6724896888682</v>
      </c>
      <c r="F56" s="709">
        <f t="shared" si="7"/>
        <v>7.4309992088253161</v>
      </c>
      <c r="G56" s="709">
        <f t="shared" si="7"/>
        <v>1027.1971237685595</v>
      </c>
      <c r="H56" s="709">
        <f t="shared" si="7"/>
        <v>0</v>
      </c>
      <c r="I56" s="709">
        <f t="shared" si="7"/>
        <v>0</v>
      </c>
      <c r="J56" s="709">
        <f t="shared" si="7"/>
        <v>0</v>
      </c>
      <c r="K56" s="709">
        <f t="shared" si="7"/>
        <v>152.17019741397741</v>
      </c>
      <c r="L56" s="709">
        <f t="shared" si="7"/>
        <v>0</v>
      </c>
      <c r="M56" s="709">
        <f t="shared" si="7"/>
        <v>0</v>
      </c>
      <c r="N56" s="709">
        <f t="shared" si="7"/>
        <v>0</v>
      </c>
      <c r="O56" s="709">
        <f t="shared" si="7"/>
        <v>0</v>
      </c>
      <c r="P56" s="709">
        <f t="shared" si="7"/>
        <v>0</v>
      </c>
      <c r="Q56" s="710">
        <f t="shared" si="7"/>
        <v>0</v>
      </c>
      <c r="R56" s="711">
        <f ca="1">SUM(R54:R55)</f>
        <v>24958.137407325859</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34315.815261629992</v>
      </c>
      <c r="D61" s="717">
        <f t="shared" ref="D61:Q61" ca="1" si="8">D46+D52+D56</f>
        <v>16855.1537891915</v>
      </c>
      <c r="E61" s="717">
        <f t="shared" ca="1" si="8"/>
        <v>65290.969591016452</v>
      </c>
      <c r="F61" s="717">
        <f t="shared" si="8"/>
        <v>845.1068893464552</v>
      </c>
      <c r="G61" s="717">
        <f t="shared" ca="1" si="8"/>
        <v>22382.3844116408</v>
      </c>
      <c r="H61" s="717">
        <f t="shared" si="8"/>
        <v>40958.689786542651</v>
      </c>
      <c r="I61" s="717">
        <f t="shared" si="8"/>
        <v>5617.5745481124504</v>
      </c>
      <c r="J61" s="717">
        <f t="shared" si="8"/>
        <v>0</v>
      </c>
      <c r="K61" s="717">
        <f t="shared" si="8"/>
        <v>719.11512034829889</v>
      </c>
      <c r="L61" s="717">
        <f t="shared" si="8"/>
        <v>0</v>
      </c>
      <c r="M61" s="717">
        <f t="shared" ca="1" si="8"/>
        <v>0</v>
      </c>
      <c r="N61" s="717">
        <f t="shared" si="8"/>
        <v>0</v>
      </c>
      <c r="O61" s="717">
        <f t="shared" ca="1" si="8"/>
        <v>0</v>
      </c>
      <c r="P61" s="717">
        <f t="shared" si="8"/>
        <v>0</v>
      </c>
      <c r="Q61" s="717">
        <f t="shared" si="8"/>
        <v>0</v>
      </c>
      <c r="R61" s="717">
        <f ca="1">R46+R52+R56</f>
        <v>186984.80939782859</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0.18794869024032113</v>
      </c>
      <c r="D63" s="761">
        <f t="shared" ca="1" si="9"/>
        <v>0.1829679768632029</v>
      </c>
      <c r="E63" s="988">
        <f t="shared" ca="1" si="9"/>
        <v>0.20200000000000001</v>
      </c>
      <c r="F63" s="761">
        <f t="shared" si="9"/>
        <v>0.22700000000000004</v>
      </c>
      <c r="G63" s="761">
        <f t="shared" ca="1" si="9"/>
        <v>0.26700000000000007</v>
      </c>
      <c r="H63" s="761">
        <f t="shared" si="9"/>
        <v>0.26700000000000002</v>
      </c>
      <c r="I63" s="761">
        <f t="shared" si="9"/>
        <v>0.24899999999999997</v>
      </c>
      <c r="J63" s="761">
        <f t="shared" si="9"/>
        <v>0</v>
      </c>
      <c r="K63" s="761">
        <f t="shared" si="9"/>
        <v>0.35399999999999993</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7715.0035198292353</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16286.202980155193</v>
      </c>
      <c r="C76" s="727">
        <f>'lokale energieproductie'!B8*IFERROR(SUM(D76:H76)/SUM(D76:O76),0)</f>
        <v>50745.797019844817</v>
      </c>
      <c r="D76" s="998">
        <f>'lokale energieproductie'!C8</f>
        <v>56545.245121601474</v>
      </c>
      <c r="E76" s="999">
        <f>'lokale energieproductie'!D8</f>
        <v>0</v>
      </c>
      <c r="F76" s="999">
        <f>'lokale energieproductie'!E8</f>
        <v>3155.6925488041816</v>
      </c>
      <c r="G76" s="999">
        <f>'lokale energieproductie'!F8</f>
        <v>0</v>
      </c>
      <c r="H76" s="999">
        <f>'lokale energieproductie'!G8</f>
        <v>0</v>
      </c>
      <c r="I76" s="999">
        <f>'lokale energieproductie'!I8</f>
        <v>19160.238800182575</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12264.709425094214</v>
      </c>
      <c r="R76" s="834">
        <v>0</v>
      </c>
    </row>
    <row r="77" spans="1:18" ht="30.75" thickBot="1">
      <c r="A77" s="730" t="s">
        <v>346</v>
      </c>
      <c r="B77" s="727">
        <f>'lokale energieproductie'!B9*IFERROR(SUM(I77:O77)/SUM(D77:O77),0)</f>
        <v>8055</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20137.5</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32056.20649998443</v>
      </c>
      <c r="C78" s="732">
        <f>SUM(C72:C77)</f>
        <v>50745.797019844817</v>
      </c>
      <c r="D78" s="733">
        <f t="shared" ref="D78:H78" si="10">SUM(D76:D77)</f>
        <v>56545.245121601474</v>
      </c>
      <c r="E78" s="733">
        <f t="shared" si="10"/>
        <v>0</v>
      </c>
      <c r="F78" s="733">
        <f t="shared" si="10"/>
        <v>3155.6925488041816</v>
      </c>
      <c r="G78" s="733">
        <f t="shared" si="10"/>
        <v>0</v>
      </c>
      <c r="H78" s="733">
        <f t="shared" si="10"/>
        <v>0</v>
      </c>
      <c r="I78" s="733">
        <f>SUM(I76:I77)</f>
        <v>39297.738800182575</v>
      </c>
      <c r="J78" s="733">
        <f>SUM(J76:J77)</f>
        <v>0</v>
      </c>
      <c r="K78" s="733">
        <f t="shared" ref="K78:L78" si="11">SUM(K76:K77)</f>
        <v>0</v>
      </c>
      <c r="L78" s="733">
        <f t="shared" si="11"/>
        <v>0</v>
      </c>
      <c r="M78" s="733">
        <f>SUM(M76:M77)</f>
        <v>0</v>
      </c>
      <c r="N78" s="733">
        <f>SUM(N76:N77)</f>
        <v>0</v>
      </c>
      <c r="O78" s="842">
        <f>SUM(O76:O77)</f>
        <v>0</v>
      </c>
      <c r="P78" s="734">
        <v>0</v>
      </c>
      <c r="Q78" s="734">
        <f>SUM(Q76:Q77)</f>
        <v>12264.709425094214</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22381.814876987668</v>
      </c>
      <c r="C87" s="743">
        <f>'lokale energieproductie'!B17*IFERROR(SUM(D87:H87)/SUM(D87:O87),0)</f>
        <v>69738.970837298039</v>
      </c>
      <c r="D87" s="754">
        <f>'lokale energieproductie'!C17</f>
        <v>77709.040592684236</v>
      </c>
      <c r="E87" s="754">
        <f>'lokale energieproductie'!D17</f>
        <v>0</v>
      </c>
      <c r="F87" s="754">
        <f>'lokale energieproductie'!E17</f>
        <v>4336.8074511958184</v>
      </c>
      <c r="G87" s="754">
        <f>'lokale energieproductie'!F17</f>
        <v>0</v>
      </c>
      <c r="H87" s="754">
        <f>'lokale energieproductie'!G17</f>
        <v>0</v>
      </c>
      <c r="I87" s="754">
        <f>'lokale energieproductie'!I17</f>
        <v>26331.546914103143</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16855.1537891915</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22381.814876987668</v>
      </c>
      <c r="C90" s="732">
        <f>SUM(C87:C89)</f>
        <v>69738.970837298039</v>
      </c>
      <c r="D90" s="732">
        <f t="shared" ref="D90:H90" si="12">SUM(D87:D89)</f>
        <v>77709.040592684236</v>
      </c>
      <c r="E90" s="732">
        <f t="shared" si="12"/>
        <v>0</v>
      </c>
      <c r="F90" s="732">
        <f t="shared" si="12"/>
        <v>4336.8074511958184</v>
      </c>
      <c r="G90" s="732">
        <f t="shared" si="12"/>
        <v>0</v>
      </c>
      <c r="H90" s="732">
        <f t="shared" si="12"/>
        <v>0</v>
      </c>
      <c r="I90" s="732">
        <f>SUM(I87:I89)</f>
        <v>26331.546914103143</v>
      </c>
      <c r="J90" s="732">
        <f>SUM(J87:J89)</f>
        <v>0</v>
      </c>
      <c r="K90" s="732">
        <f t="shared" ref="K90:L90" si="13">SUM(K87:K89)</f>
        <v>0</v>
      </c>
      <c r="L90" s="732">
        <f t="shared" si="13"/>
        <v>0</v>
      </c>
      <c r="M90" s="732">
        <f>SUM(M87:M89)</f>
        <v>0</v>
      </c>
      <c r="N90" s="732">
        <f>SUM(N87:N89)</f>
        <v>0</v>
      </c>
      <c r="O90" s="732">
        <f>SUM(O87:O89)</f>
        <v>0</v>
      </c>
      <c r="P90" s="732">
        <v>0</v>
      </c>
      <c r="Q90" s="732">
        <f>SUM(Q87:Q89)</f>
        <v>16855.1537891915</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60939.751313734334</v>
      </c>
      <c r="C4" s="449">
        <f>huishoudens!C8</f>
        <v>0</v>
      </c>
      <c r="D4" s="449">
        <f>huishoudens!D8</f>
        <v>180165.19217785244</v>
      </c>
      <c r="E4" s="449">
        <f>huishoudens!E8</f>
        <v>1886.1678806875791</v>
      </c>
      <c r="F4" s="449">
        <f>huishoudens!F8</f>
        <v>57503.782578761922</v>
      </c>
      <c r="G4" s="449">
        <f>huishoudens!G8</f>
        <v>0</v>
      </c>
      <c r="H4" s="449">
        <f>huishoudens!H8</f>
        <v>0</v>
      </c>
      <c r="I4" s="449">
        <f>huishoudens!I8</f>
        <v>0</v>
      </c>
      <c r="J4" s="449">
        <f>huishoudens!J8</f>
        <v>1043.3860979381586</v>
      </c>
      <c r="K4" s="449">
        <f>huishoudens!K8</f>
        <v>0</v>
      </c>
      <c r="L4" s="449">
        <f>huishoudens!L8</f>
        <v>0</v>
      </c>
      <c r="M4" s="449">
        <f>huishoudens!M8</f>
        <v>0</v>
      </c>
      <c r="N4" s="449">
        <f>huishoudens!N8</f>
        <v>20503.643576722225</v>
      </c>
      <c r="O4" s="449">
        <f>huishoudens!O8</f>
        <v>129.75666666666669</v>
      </c>
      <c r="P4" s="450">
        <f>huishoudens!P8</f>
        <v>362.26666666666665</v>
      </c>
      <c r="Q4" s="451">
        <f>SUM(B4:P4)</f>
        <v>322533.94695903</v>
      </c>
    </row>
    <row r="5" spans="1:17">
      <c r="A5" s="448" t="s">
        <v>155</v>
      </c>
      <c r="B5" s="449">
        <f ca="1">tertiair!B16</f>
        <v>58085.529158015743</v>
      </c>
      <c r="C5" s="449">
        <f ca="1">tertiair!C16</f>
        <v>0</v>
      </c>
      <c r="D5" s="449">
        <f ca="1">tertiair!D16</f>
        <v>67830.655405231882</v>
      </c>
      <c r="E5" s="449">
        <f>tertiair!E16</f>
        <v>559.14290853291402</v>
      </c>
      <c r="F5" s="449">
        <f ca="1">tertiair!F16</f>
        <v>12425.894592777568</v>
      </c>
      <c r="G5" s="449">
        <f>tertiair!G16</f>
        <v>0</v>
      </c>
      <c r="H5" s="449">
        <f>tertiair!H16</f>
        <v>0</v>
      </c>
      <c r="I5" s="449">
        <f>tertiair!I16</f>
        <v>0</v>
      </c>
      <c r="J5" s="449">
        <f>tertiair!J16</f>
        <v>0</v>
      </c>
      <c r="K5" s="449">
        <f>tertiair!K16</f>
        <v>0</v>
      </c>
      <c r="L5" s="449">
        <f ca="1">tertiair!L16</f>
        <v>0</v>
      </c>
      <c r="M5" s="449">
        <f>tertiair!M16</f>
        <v>0</v>
      </c>
      <c r="N5" s="449">
        <f ca="1">tertiair!N16</f>
        <v>4672.6330561207978</v>
      </c>
      <c r="O5" s="449">
        <f>tertiair!O16</f>
        <v>3.1266666666666669</v>
      </c>
      <c r="P5" s="450">
        <f>tertiair!P16</f>
        <v>95.333333333333343</v>
      </c>
      <c r="Q5" s="448">
        <f t="shared" ref="Q5:Q14" ca="1" si="0">SUM(B5:P5)</f>
        <v>143672.31512067895</v>
      </c>
    </row>
    <row r="6" spans="1:17">
      <c r="A6" s="448" t="s">
        <v>193</v>
      </c>
      <c r="B6" s="449">
        <f>'openbare verlichting'!B8</f>
        <v>2292.5749999999998</v>
      </c>
      <c r="C6" s="449"/>
      <c r="D6" s="449"/>
      <c r="E6" s="449"/>
      <c r="F6" s="449"/>
      <c r="G6" s="449"/>
      <c r="H6" s="449"/>
      <c r="I6" s="449"/>
      <c r="J6" s="449"/>
      <c r="K6" s="449"/>
      <c r="L6" s="449"/>
      <c r="M6" s="449"/>
      <c r="N6" s="449"/>
      <c r="O6" s="449"/>
      <c r="P6" s="450"/>
      <c r="Q6" s="448">
        <f t="shared" si="0"/>
        <v>2292.5749999999998</v>
      </c>
    </row>
    <row r="7" spans="1:17">
      <c r="A7" s="448" t="s">
        <v>111</v>
      </c>
      <c r="B7" s="449">
        <f>landbouw!B8</f>
        <v>3474.8780349655162</v>
      </c>
      <c r="C7" s="449">
        <f>landbouw!C8</f>
        <v>92120.78571428571</v>
      </c>
      <c r="D7" s="449">
        <f>landbouw!D8</f>
        <v>19583.918532545125</v>
      </c>
      <c r="E7" s="449">
        <f>landbouw!E8</f>
        <v>32.735679334032227</v>
      </c>
      <c r="F7" s="449">
        <f>landbouw!F8</f>
        <v>3847.1802388335564</v>
      </c>
      <c r="G7" s="449">
        <f>landbouw!G8</f>
        <v>0</v>
      </c>
      <c r="H7" s="449">
        <f>landbouw!H8</f>
        <v>0</v>
      </c>
      <c r="I7" s="449">
        <f>landbouw!I8</f>
        <v>0</v>
      </c>
      <c r="J7" s="449">
        <f>landbouw!J8</f>
        <v>429.85931472874972</v>
      </c>
      <c r="K7" s="449">
        <f>landbouw!K8</f>
        <v>0</v>
      </c>
      <c r="L7" s="449">
        <f>landbouw!L8</f>
        <v>0</v>
      </c>
      <c r="M7" s="449">
        <f>landbouw!M8</f>
        <v>0</v>
      </c>
      <c r="N7" s="449">
        <f>landbouw!N8</f>
        <v>0</v>
      </c>
      <c r="O7" s="449">
        <f>landbouw!O8</f>
        <v>0</v>
      </c>
      <c r="P7" s="450">
        <f>landbouw!P8</f>
        <v>0</v>
      </c>
      <c r="Q7" s="448">
        <f t="shared" si="0"/>
        <v>119489.35751469269</v>
      </c>
    </row>
    <row r="8" spans="1:17">
      <c r="A8" s="448" t="s">
        <v>671</v>
      </c>
      <c r="B8" s="449">
        <f>industrie!B18</f>
        <v>55098.357981501329</v>
      </c>
      <c r="C8" s="449">
        <f>industrie!C18</f>
        <v>0</v>
      </c>
      <c r="D8" s="449">
        <f>industrie!D18</f>
        <v>46684.432343930239</v>
      </c>
      <c r="E8" s="449">
        <f>industrie!E18</f>
        <v>645.42169816452861</v>
      </c>
      <c r="F8" s="449">
        <f>industrie!F18</f>
        <v>10052.297689405226</v>
      </c>
      <c r="G8" s="449">
        <f>industrie!G18</f>
        <v>0</v>
      </c>
      <c r="H8" s="449">
        <f>industrie!H18</f>
        <v>0</v>
      </c>
      <c r="I8" s="449">
        <f>industrie!I18</f>
        <v>0</v>
      </c>
      <c r="J8" s="449">
        <f>industrie!J18</f>
        <v>558.15323238478379</v>
      </c>
      <c r="K8" s="449">
        <f>industrie!K18</f>
        <v>0</v>
      </c>
      <c r="L8" s="449">
        <f>industrie!L18</f>
        <v>0</v>
      </c>
      <c r="M8" s="449">
        <f>industrie!M18</f>
        <v>0</v>
      </c>
      <c r="N8" s="449">
        <f>industrie!N18</f>
        <v>3049.1100449825158</v>
      </c>
      <c r="O8" s="449">
        <f>industrie!O18</f>
        <v>0</v>
      </c>
      <c r="P8" s="450">
        <f>industrie!P18</f>
        <v>0</v>
      </c>
      <c r="Q8" s="448">
        <f t="shared" si="0"/>
        <v>116087.77299036861</v>
      </c>
    </row>
    <row r="9" spans="1:17" s="454" customFormat="1">
      <c r="A9" s="452" t="s">
        <v>568</v>
      </c>
      <c r="B9" s="453">
        <f>transport!B14</f>
        <v>7.8865261817679633</v>
      </c>
      <c r="C9" s="453">
        <f>transport!C14</f>
        <v>0</v>
      </c>
      <c r="D9" s="453">
        <f>transport!D14</f>
        <v>9.3096835180297539</v>
      </c>
      <c r="E9" s="453">
        <f>transport!E14</f>
        <v>599.46967181158539</v>
      </c>
      <c r="F9" s="453">
        <f>transport!F14</f>
        <v>0</v>
      </c>
      <c r="G9" s="453">
        <f>transport!G14</f>
        <v>148496.39185015709</v>
      </c>
      <c r="H9" s="453">
        <f>transport!H14</f>
        <v>22560.540353865264</v>
      </c>
      <c r="I9" s="453">
        <f>transport!I14</f>
        <v>0</v>
      </c>
      <c r="J9" s="453">
        <f>transport!J14</f>
        <v>0</v>
      </c>
      <c r="K9" s="453">
        <f>transport!K14</f>
        <v>0</v>
      </c>
      <c r="L9" s="453">
        <f>transport!L14</f>
        <v>0</v>
      </c>
      <c r="M9" s="453">
        <f>transport!M14</f>
        <v>7640.8377466292341</v>
      </c>
      <c r="N9" s="453">
        <f>transport!N14</f>
        <v>0</v>
      </c>
      <c r="O9" s="453">
        <f>transport!O14</f>
        <v>0</v>
      </c>
      <c r="P9" s="453">
        <f>transport!P14</f>
        <v>0</v>
      </c>
      <c r="Q9" s="452">
        <f>SUM(B9:P9)</f>
        <v>179314.43583216297</v>
      </c>
    </row>
    <row r="10" spans="1:17">
      <c r="A10" s="448" t="s">
        <v>558</v>
      </c>
      <c r="B10" s="449">
        <f>transport!B54</f>
        <v>24.602116716117852</v>
      </c>
      <c r="C10" s="449">
        <f>transport!C54</f>
        <v>0</v>
      </c>
      <c r="D10" s="449">
        <f>transport!D54</f>
        <v>0</v>
      </c>
      <c r="E10" s="449">
        <f>transport!E54</f>
        <v>0</v>
      </c>
      <c r="F10" s="449">
        <f>transport!F54</f>
        <v>0</v>
      </c>
      <c r="G10" s="449">
        <f>transport!G54</f>
        <v>4906.9406837105098</v>
      </c>
      <c r="H10" s="449">
        <f>transport!H54</f>
        <v>0</v>
      </c>
      <c r="I10" s="449">
        <f>transport!I54</f>
        <v>0</v>
      </c>
      <c r="J10" s="449">
        <f>transport!J54</f>
        <v>0</v>
      </c>
      <c r="K10" s="449">
        <f>transport!K54</f>
        <v>0</v>
      </c>
      <c r="L10" s="449">
        <f>transport!L54</f>
        <v>0</v>
      </c>
      <c r="M10" s="449">
        <f>transport!M54</f>
        <v>216.88155203481176</v>
      </c>
      <c r="N10" s="449">
        <f>transport!N54</f>
        <v>0</v>
      </c>
      <c r="O10" s="449">
        <f>transport!O54</f>
        <v>0</v>
      </c>
      <c r="P10" s="450">
        <f>transport!P54</f>
        <v>0</v>
      </c>
      <c r="Q10" s="448">
        <f t="shared" si="0"/>
        <v>5148.4243524614394</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2657.18283005283</v>
      </c>
      <c r="C14" s="456"/>
      <c r="D14" s="456">
        <f>'SEAP template'!E25</f>
        <v>8949.1135946274899</v>
      </c>
      <c r="E14" s="456"/>
      <c r="F14" s="456"/>
      <c r="G14" s="456"/>
      <c r="H14" s="456"/>
      <c r="I14" s="456"/>
      <c r="J14" s="456"/>
      <c r="K14" s="456"/>
      <c r="L14" s="456"/>
      <c r="M14" s="456"/>
      <c r="N14" s="456"/>
      <c r="O14" s="456"/>
      <c r="P14" s="457"/>
      <c r="Q14" s="448">
        <f t="shared" si="0"/>
        <v>11606.29642468032</v>
      </c>
    </row>
    <row r="15" spans="1:17" s="461" customFormat="1">
      <c r="A15" s="458" t="s">
        <v>562</v>
      </c>
      <c r="B15" s="459">
        <f ca="1">SUM(B4:B14)</f>
        <v>182580.76296116764</v>
      </c>
      <c r="C15" s="459">
        <f t="shared" ref="C15:Q15" ca="1" si="1">SUM(C4:C14)</f>
        <v>92120.78571428571</v>
      </c>
      <c r="D15" s="459">
        <f t="shared" ca="1" si="1"/>
        <v>323222.62173770519</v>
      </c>
      <c r="E15" s="459">
        <f t="shared" si="1"/>
        <v>3722.9378385306391</v>
      </c>
      <c r="F15" s="459">
        <f t="shared" ca="1" si="1"/>
        <v>83829.155099778276</v>
      </c>
      <c r="G15" s="459">
        <f t="shared" si="1"/>
        <v>153403.33253386759</v>
      </c>
      <c r="H15" s="459">
        <f t="shared" si="1"/>
        <v>22560.540353865264</v>
      </c>
      <c r="I15" s="459">
        <f t="shared" si="1"/>
        <v>0</v>
      </c>
      <c r="J15" s="459">
        <f t="shared" si="1"/>
        <v>2031.3986450516923</v>
      </c>
      <c r="K15" s="459">
        <f t="shared" si="1"/>
        <v>0</v>
      </c>
      <c r="L15" s="459">
        <f t="shared" ca="1" si="1"/>
        <v>0</v>
      </c>
      <c r="M15" s="459">
        <f t="shared" si="1"/>
        <v>7857.7192986640457</v>
      </c>
      <c r="N15" s="459">
        <f t="shared" ca="1" si="1"/>
        <v>28225.38667782554</v>
      </c>
      <c r="O15" s="459">
        <f t="shared" si="1"/>
        <v>132.88333333333335</v>
      </c>
      <c r="P15" s="459">
        <f t="shared" si="1"/>
        <v>457.6</v>
      </c>
      <c r="Q15" s="459">
        <f t="shared" ca="1" si="1"/>
        <v>900145.124194075</v>
      </c>
    </row>
    <row r="17" spans="1:17">
      <c r="A17" s="462" t="s">
        <v>563</v>
      </c>
      <c r="B17" s="766">
        <f ca="1">huishoudens!B10</f>
        <v>0.18794869024032115</v>
      </c>
      <c r="C17" s="766">
        <f ca="1">huishoudens!C10</f>
        <v>0.1829679768632029</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11453.546442987259</v>
      </c>
      <c r="C22" s="449">
        <f t="shared" ref="C22:C32" ca="1" si="3">C4*$C$17</f>
        <v>0</v>
      </c>
      <c r="D22" s="449">
        <f t="shared" ref="D22:D32" si="4">D4*$D$17</f>
        <v>36393.368819926196</v>
      </c>
      <c r="E22" s="449">
        <f t="shared" ref="E22:E32" si="5">E4*$E$17</f>
        <v>428.16010891608045</v>
      </c>
      <c r="F22" s="449">
        <f t="shared" ref="F22:F32" si="6">F4*$F$17</f>
        <v>15353.509948529434</v>
      </c>
      <c r="G22" s="449">
        <f t="shared" ref="G22:G32" si="7">G4*$G$17</f>
        <v>0</v>
      </c>
      <c r="H22" s="449">
        <f t="shared" ref="H22:H32" si="8">H4*$H$17</f>
        <v>0</v>
      </c>
      <c r="I22" s="449">
        <f t="shared" ref="I22:I32" si="9">I4*$I$17</f>
        <v>0</v>
      </c>
      <c r="J22" s="449">
        <f t="shared" ref="J22:J32" si="10">J4*$J$17</f>
        <v>369.35867867010813</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63997.943999029078</v>
      </c>
    </row>
    <row r="23" spans="1:17">
      <c r="A23" s="448" t="s">
        <v>155</v>
      </c>
      <c r="B23" s="449">
        <f t="shared" ca="1" si="2"/>
        <v>10917.099127165044</v>
      </c>
      <c r="C23" s="449">
        <f t="shared" ca="1" si="3"/>
        <v>0</v>
      </c>
      <c r="D23" s="449">
        <f t="shared" ca="1" si="4"/>
        <v>13701.792391856841</v>
      </c>
      <c r="E23" s="449">
        <f t="shared" si="5"/>
        <v>126.92544023697148</v>
      </c>
      <c r="F23" s="449">
        <f t="shared" ca="1" si="6"/>
        <v>3317.7138562716109</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28063.530815530463</v>
      </c>
    </row>
    <row r="24" spans="1:17">
      <c r="A24" s="448" t="s">
        <v>193</v>
      </c>
      <c r="B24" s="449">
        <f t="shared" ca="1" si="2"/>
        <v>430.88646852770421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430.88646852770421</v>
      </c>
    </row>
    <row r="25" spans="1:17">
      <c r="A25" s="448" t="s">
        <v>111</v>
      </c>
      <c r="B25" s="449">
        <f t="shared" ca="1" si="2"/>
        <v>653.09877541662968</v>
      </c>
      <c r="C25" s="449">
        <f t="shared" ca="1" si="3"/>
        <v>16855.1537891915</v>
      </c>
      <c r="D25" s="449">
        <f t="shared" si="4"/>
        <v>3955.9515435741155</v>
      </c>
      <c r="E25" s="449">
        <f t="shared" si="5"/>
        <v>7.4309992088253161</v>
      </c>
      <c r="F25" s="449">
        <f t="shared" si="6"/>
        <v>1027.1971237685595</v>
      </c>
      <c r="G25" s="449">
        <f t="shared" si="7"/>
        <v>0</v>
      </c>
      <c r="H25" s="449">
        <f t="shared" si="8"/>
        <v>0</v>
      </c>
      <c r="I25" s="449">
        <f t="shared" si="9"/>
        <v>0</v>
      </c>
      <c r="J25" s="449">
        <f t="shared" si="10"/>
        <v>152.17019741397741</v>
      </c>
      <c r="K25" s="449">
        <f t="shared" si="11"/>
        <v>0</v>
      </c>
      <c r="L25" s="449">
        <f t="shared" si="12"/>
        <v>0</v>
      </c>
      <c r="M25" s="449">
        <f t="shared" si="13"/>
        <v>0</v>
      </c>
      <c r="N25" s="449">
        <f t="shared" si="14"/>
        <v>0</v>
      </c>
      <c r="O25" s="449">
        <f t="shared" si="15"/>
        <v>0</v>
      </c>
      <c r="P25" s="450">
        <f t="shared" si="16"/>
        <v>0</v>
      </c>
      <c r="Q25" s="448">
        <f t="shared" ca="1" si="17"/>
        <v>22651.002428573607</v>
      </c>
    </row>
    <row r="26" spans="1:17">
      <c r="A26" s="448" t="s">
        <v>671</v>
      </c>
      <c r="B26" s="449">
        <f t="shared" ca="1" si="2"/>
        <v>10355.664217015519</v>
      </c>
      <c r="C26" s="449">
        <f t="shared" ca="1" si="3"/>
        <v>0</v>
      </c>
      <c r="D26" s="449">
        <f t="shared" si="4"/>
        <v>9430.2553334739096</v>
      </c>
      <c r="E26" s="449">
        <f t="shared" si="5"/>
        <v>146.51072548334801</v>
      </c>
      <c r="F26" s="449">
        <f t="shared" si="6"/>
        <v>2683.9634830711957</v>
      </c>
      <c r="G26" s="449">
        <f t="shared" si="7"/>
        <v>0</v>
      </c>
      <c r="H26" s="449">
        <f t="shared" si="8"/>
        <v>0</v>
      </c>
      <c r="I26" s="449">
        <f t="shared" si="9"/>
        <v>0</v>
      </c>
      <c r="J26" s="449">
        <f t="shared" si="10"/>
        <v>197.58624426421346</v>
      </c>
      <c r="K26" s="449">
        <f t="shared" si="11"/>
        <v>0</v>
      </c>
      <c r="L26" s="449">
        <f t="shared" si="12"/>
        <v>0</v>
      </c>
      <c r="M26" s="449">
        <f t="shared" si="13"/>
        <v>0</v>
      </c>
      <c r="N26" s="449">
        <f t="shared" si="14"/>
        <v>0</v>
      </c>
      <c r="O26" s="449">
        <f t="shared" si="15"/>
        <v>0</v>
      </c>
      <c r="P26" s="450">
        <f t="shared" si="16"/>
        <v>0</v>
      </c>
      <c r="Q26" s="448">
        <f t="shared" ca="1" si="17"/>
        <v>22813.980003308188</v>
      </c>
    </row>
    <row r="27" spans="1:17" s="454" customFormat="1">
      <c r="A27" s="452" t="s">
        <v>568</v>
      </c>
      <c r="B27" s="760">
        <f t="shared" ca="1" si="2"/>
        <v>1.4822622664092897</v>
      </c>
      <c r="C27" s="453">
        <f t="shared" ca="1" si="3"/>
        <v>0</v>
      </c>
      <c r="D27" s="453">
        <f t="shared" si="4"/>
        <v>1.8805560706420104</v>
      </c>
      <c r="E27" s="453">
        <f t="shared" si="5"/>
        <v>136.07961550122988</v>
      </c>
      <c r="F27" s="453">
        <f t="shared" si="6"/>
        <v>0</v>
      </c>
      <c r="G27" s="453">
        <f t="shared" si="7"/>
        <v>39648.536623991946</v>
      </c>
      <c r="H27" s="453">
        <f t="shared" si="8"/>
        <v>5617.5745481124504</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45405.553605942681</v>
      </c>
    </row>
    <row r="28" spans="1:17">
      <c r="A28" s="448" t="s">
        <v>558</v>
      </c>
      <c r="B28" s="449">
        <f t="shared" ca="1" si="2"/>
        <v>4.6239356139338614</v>
      </c>
      <c r="C28" s="449">
        <f t="shared" ca="1" si="3"/>
        <v>0</v>
      </c>
      <c r="D28" s="449">
        <f t="shared" si="4"/>
        <v>0</v>
      </c>
      <c r="E28" s="449">
        <f t="shared" si="5"/>
        <v>0</v>
      </c>
      <c r="F28" s="449">
        <f t="shared" si="6"/>
        <v>0</v>
      </c>
      <c r="G28" s="449">
        <f t="shared" si="7"/>
        <v>1310.1531625507062</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1314.7770981646399</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499.41403263749925</v>
      </c>
      <c r="C32" s="449">
        <f t="shared" ca="1" si="3"/>
        <v>0</v>
      </c>
      <c r="D32" s="449">
        <f t="shared" si="4"/>
        <v>1807.7209461147531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2307.1349787522522</v>
      </c>
    </row>
    <row r="33" spans="1:17" s="461" customFormat="1">
      <c r="A33" s="458" t="s">
        <v>562</v>
      </c>
      <c r="B33" s="459">
        <f ca="1">SUM(B22:B32)</f>
        <v>34315.815261629992</v>
      </c>
      <c r="C33" s="459">
        <f t="shared" ref="C33:Q33" ca="1" si="18">SUM(C22:C32)</f>
        <v>16855.1537891915</v>
      </c>
      <c r="D33" s="459">
        <f t="shared" ca="1" si="18"/>
        <v>65290.969591016452</v>
      </c>
      <c r="E33" s="459">
        <f t="shared" si="18"/>
        <v>845.1068893464552</v>
      </c>
      <c r="F33" s="459">
        <f t="shared" ca="1" si="18"/>
        <v>22382.3844116408</v>
      </c>
      <c r="G33" s="459">
        <f t="shared" si="18"/>
        <v>40958.689786542651</v>
      </c>
      <c r="H33" s="459">
        <f t="shared" si="18"/>
        <v>5617.5745481124504</v>
      </c>
      <c r="I33" s="459">
        <f t="shared" si="18"/>
        <v>0</v>
      </c>
      <c r="J33" s="459">
        <f t="shared" si="18"/>
        <v>719.11512034829911</v>
      </c>
      <c r="K33" s="459">
        <f t="shared" si="18"/>
        <v>0</v>
      </c>
      <c r="L33" s="459">
        <f t="shared" ca="1" si="18"/>
        <v>0</v>
      </c>
      <c r="M33" s="459">
        <f t="shared" si="18"/>
        <v>0</v>
      </c>
      <c r="N33" s="459">
        <f t="shared" ca="1" si="18"/>
        <v>0</v>
      </c>
      <c r="O33" s="459">
        <f t="shared" si="18"/>
        <v>0</v>
      </c>
      <c r="P33" s="459">
        <f t="shared" si="18"/>
        <v>0</v>
      </c>
      <c r="Q33" s="459">
        <f t="shared" ca="1" si="18"/>
        <v>186984.80939782859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7715.0035198292353</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16286.202980155193</v>
      </c>
      <c r="C8" s="1015">
        <f>'SEAP template'!C76</f>
        <v>50745.797019844817</v>
      </c>
      <c r="D8" s="1015">
        <f>'SEAP template'!D76</f>
        <v>56545.245121601474</v>
      </c>
      <c r="E8" s="1015">
        <f>'SEAP template'!E76</f>
        <v>0</v>
      </c>
      <c r="F8" s="1015">
        <f>'SEAP template'!F76</f>
        <v>3155.6925488041816</v>
      </c>
      <c r="G8" s="1015">
        <f>'SEAP template'!G76</f>
        <v>0</v>
      </c>
      <c r="H8" s="1015">
        <f>'SEAP template'!H76</f>
        <v>0</v>
      </c>
      <c r="I8" s="1015">
        <f>'SEAP template'!I76</f>
        <v>19160.238800182575</v>
      </c>
      <c r="J8" s="1015">
        <f>'SEAP template'!J76</f>
        <v>0</v>
      </c>
      <c r="K8" s="1015">
        <f>'SEAP template'!K76</f>
        <v>0</v>
      </c>
      <c r="L8" s="1015">
        <f>'SEAP template'!L76</f>
        <v>0</v>
      </c>
      <c r="M8" s="1015">
        <f>'SEAP template'!M76</f>
        <v>0</v>
      </c>
      <c r="N8" s="1015">
        <f>'SEAP template'!N76</f>
        <v>0</v>
      </c>
      <c r="O8" s="1015">
        <f>'SEAP template'!O76</f>
        <v>0</v>
      </c>
      <c r="P8" s="1016">
        <f>'SEAP template'!Q76</f>
        <v>12264.709425094214</v>
      </c>
    </row>
    <row r="9" spans="1:16">
      <c r="A9" s="1018" t="s">
        <v>891</v>
      </c>
      <c r="B9" s="1015">
        <f>'SEAP template'!B77</f>
        <v>8055</v>
      </c>
      <c r="C9" s="1015">
        <f>'SEAP template'!C77</f>
        <v>0</v>
      </c>
      <c r="D9" s="1015">
        <f>'SEAP template'!D77</f>
        <v>0</v>
      </c>
      <c r="E9" s="1015">
        <f>'SEAP template'!E77</f>
        <v>0</v>
      </c>
      <c r="F9" s="1015">
        <f>'SEAP template'!F77</f>
        <v>0</v>
      </c>
      <c r="G9" s="1015">
        <f>'SEAP template'!G77</f>
        <v>0</v>
      </c>
      <c r="H9" s="1015">
        <f>'SEAP template'!H77</f>
        <v>0</v>
      </c>
      <c r="I9" s="1015">
        <f>'SEAP template'!I77</f>
        <v>20137.5</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32056.20649998443</v>
      </c>
      <c r="C10" s="1019">
        <f>SUM(C4:C9)</f>
        <v>50745.797019844817</v>
      </c>
      <c r="D10" s="1019">
        <f t="shared" ref="D10:H10" si="0">SUM(D8:D9)</f>
        <v>56545.245121601474</v>
      </c>
      <c r="E10" s="1019">
        <f t="shared" si="0"/>
        <v>0</v>
      </c>
      <c r="F10" s="1019">
        <f t="shared" si="0"/>
        <v>3155.6925488041816</v>
      </c>
      <c r="G10" s="1019">
        <f t="shared" si="0"/>
        <v>0</v>
      </c>
      <c r="H10" s="1019">
        <f t="shared" si="0"/>
        <v>0</v>
      </c>
      <c r="I10" s="1019">
        <f>SUM(I8:I9)</f>
        <v>39297.738800182575</v>
      </c>
      <c r="J10" s="1019">
        <f>SUM(J8:J9)</f>
        <v>0</v>
      </c>
      <c r="K10" s="1019">
        <f t="shared" ref="K10:L10" si="1">SUM(K8:K9)</f>
        <v>0</v>
      </c>
      <c r="L10" s="1019">
        <f t="shared" si="1"/>
        <v>0</v>
      </c>
      <c r="M10" s="1019">
        <f>SUM(M8:M9)</f>
        <v>0</v>
      </c>
      <c r="N10" s="1019">
        <f>SUM(N8:N9)</f>
        <v>0</v>
      </c>
      <c r="O10" s="1019">
        <f>SUM(O8:O9)</f>
        <v>0</v>
      </c>
      <c r="P10" s="1019">
        <f>SUM(P8:P9)</f>
        <v>12264.709425094214</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0.18794869024032115</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22381.814876987668</v>
      </c>
      <c r="C17" s="1022">
        <f>'SEAP template'!C87</f>
        <v>69738.970837298039</v>
      </c>
      <c r="D17" s="1016">
        <f>'SEAP template'!D87</f>
        <v>77709.040592684236</v>
      </c>
      <c r="E17" s="1016">
        <f>'SEAP template'!E87</f>
        <v>0</v>
      </c>
      <c r="F17" s="1016">
        <f>'SEAP template'!F87</f>
        <v>4336.8074511958184</v>
      </c>
      <c r="G17" s="1016">
        <f>'SEAP template'!G87</f>
        <v>0</v>
      </c>
      <c r="H17" s="1016">
        <f>'SEAP template'!H87</f>
        <v>0</v>
      </c>
      <c r="I17" s="1016">
        <f>'SEAP template'!I87</f>
        <v>26331.546914103143</v>
      </c>
      <c r="J17" s="1016">
        <f>'SEAP template'!J87</f>
        <v>0</v>
      </c>
      <c r="K17" s="1016">
        <f>'SEAP template'!K87</f>
        <v>0</v>
      </c>
      <c r="L17" s="1016">
        <f>'SEAP template'!L87</f>
        <v>0</v>
      </c>
      <c r="M17" s="1016">
        <f>'SEAP template'!M87</f>
        <v>0</v>
      </c>
      <c r="N17" s="1016">
        <f>'SEAP template'!N87</f>
        <v>0</v>
      </c>
      <c r="O17" s="1016">
        <f>'SEAP template'!O87</f>
        <v>0</v>
      </c>
      <c r="P17" s="1016">
        <f>'SEAP template'!Q87</f>
        <v>16855.1537891915</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22381.814876987668</v>
      </c>
      <c r="C20" s="1019">
        <f>SUM(C17:C19)</f>
        <v>69738.970837298039</v>
      </c>
      <c r="D20" s="1019">
        <f t="shared" ref="D20:H20" si="2">SUM(D17:D19)</f>
        <v>77709.040592684236</v>
      </c>
      <c r="E20" s="1019">
        <f t="shared" si="2"/>
        <v>0</v>
      </c>
      <c r="F20" s="1019">
        <f t="shared" si="2"/>
        <v>4336.8074511958184</v>
      </c>
      <c r="G20" s="1019">
        <f t="shared" si="2"/>
        <v>0</v>
      </c>
      <c r="H20" s="1019">
        <f t="shared" si="2"/>
        <v>0</v>
      </c>
      <c r="I20" s="1019">
        <f>SUM(I17:I19)</f>
        <v>26331.546914103143</v>
      </c>
      <c r="J20" s="1019">
        <f>SUM(J17:J19)</f>
        <v>0</v>
      </c>
      <c r="K20" s="1019">
        <f t="shared" ref="K20:L20" si="3">SUM(K17:K19)</f>
        <v>0</v>
      </c>
      <c r="L20" s="1019">
        <f t="shared" si="3"/>
        <v>0</v>
      </c>
      <c r="M20" s="1019">
        <f>SUM(M17:M19)</f>
        <v>0</v>
      </c>
      <c r="N20" s="1019">
        <f>SUM(N17:N19)</f>
        <v>0</v>
      </c>
      <c r="O20" s="1019">
        <f>SUM(O17:O19)</f>
        <v>0</v>
      </c>
      <c r="P20" s="1019">
        <f>SUM(P17:P19)</f>
        <v>16855.1537891915</v>
      </c>
    </row>
    <row r="22" spans="1:16">
      <c r="A22" s="462" t="s">
        <v>899</v>
      </c>
      <c r="B22" s="766" t="s">
        <v>893</v>
      </c>
      <c r="C22" s="766">
        <f ca="1">'EF ele_warmte'!B22</f>
        <v>0.1829679768632029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0.18794869024032115</v>
      </c>
      <c r="C17" s="498">
        <f ca="1">'EF ele_warmte'!B22</f>
        <v>0.1829679768632029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0.18794869024032115</v>
      </c>
      <c r="C17" s="498">
        <f ca="1">'EF ele_warmte'!B22</f>
        <v>0.1829679768632029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0.18794869024032115</v>
      </c>
      <c r="C29" s="499">
        <f ca="1">'EF ele_warmte'!B22</f>
        <v>0.1829679768632029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15034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2021</v>
      </c>
      <c r="C14" s="327"/>
      <c r="D14" s="327"/>
      <c r="E14" s="327"/>
      <c r="F14" s="327"/>
    </row>
    <row r="15" spans="1:6">
      <c r="A15" s="1295" t="s">
        <v>183</v>
      </c>
      <c r="B15" s="1296">
        <v>573</v>
      </c>
      <c r="C15" s="327"/>
      <c r="D15" s="327"/>
      <c r="E15" s="327"/>
      <c r="F15" s="327"/>
    </row>
    <row r="16" spans="1:6">
      <c r="A16" s="1295" t="s">
        <v>6</v>
      </c>
      <c r="B16" s="1296">
        <v>639</v>
      </c>
      <c r="C16" s="327"/>
      <c r="D16" s="327"/>
      <c r="E16" s="327"/>
      <c r="F16" s="327"/>
    </row>
    <row r="17" spans="1:6">
      <c r="A17" s="1295" t="s">
        <v>7</v>
      </c>
      <c r="B17" s="1296">
        <v>349</v>
      </c>
      <c r="C17" s="327"/>
      <c r="D17" s="327"/>
      <c r="E17" s="327"/>
      <c r="F17" s="327"/>
    </row>
    <row r="18" spans="1:6">
      <c r="A18" s="1295" t="s">
        <v>8</v>
      </c>
      <c r="B18" s="1296">
        <v>745</v>
      </c>
      <c r="C18" s="327"/>
      <c r="D18" s="327"/>
      <c r="E18" s="327"/>
      <c r="F18" s="327"/>
    </row>
    <row r="19" spans="1:6">
      <c r="A19" s="1295" t="s">
        <v>9</v>
      </c>
      <c r="B19" s="1296">
        <v>1122</v>
      </c>
      <c r="C19" s="327"/>
      <c r="D19" s="327"/>
      <c r="E19" s="327"/>
      <c r="F19" s="327"/>
    </row>
    <row r="20" spans="1:6">
      <c r="A20" s="1295" t="s">
        <v>10</v>
      </c>
      <c r="B20" s="1296">
        <v>515</v>
      </c>
      <c r="C20" s="327"/>
      <c r="D20" s="327"/>
      <c r="E20" s="327"/>
      <c r="F20" s="327"/>
    </row>
    <row r="21" spans="1:6">
      <c r="A21" s="1295" t="s">
        <v>11</v>
      </c>
      <c r="B21" s="1296">
        <v>113</v>
      </c>
      <c r="C21" s="327"/>
      <c r="D21" s="327"/>
      <c r="E21" s="327"/>
      <c r="F21" s="327"/>
    </row>
    <row r="22" spans="1:6">
      <c r="A22" s="1295" t="s">
        <v>12</v>
      </c>
      <c r="B22" s="1296">
        <v>350</v>
      </c>
      <c r="C22" s="327"/>
      <c r="D22" s="327"/>
      <c r="E22" s="327"/>
      <c r="F22" s="327"/>
    </row>
    <row r="23" spans="1:6">
      <c r="A23" s="1295" t="s">
        <v>13</v>
      </c>
      <c r="B23" s="1296">
        <v>0</v>
      </c>
      <c r="C23" s="327"/>
      <c r="D23" s="327"/>
      <c r="E23" s="327"/>
      <c r="F23" s="327"/>
    </row>
    <row r="24" spans="1:6">
      <c r="A24" s="1295" t="s">
        <v>14</v>
      </c>
      <c r="B24" s="1296">
        <v>1</v>
      </c>
      <c r="C24" s="327"/>
      <c r="D24" s="327"/>
      <c r="E24" s="327"/>
      <c r="F24" s="327"/>
    </row>
    <row r="25" spans="1:6">
      <c r="A25" s="1295" t="s">
        <v>15</v>
      </c>
      <c r="B25" s="1296">
        <v>69</v>
      </c>
      <c r="C25" s="327"/>
      <c r="D25" s="327"/>
      <c r="E25" s="327"/>
      <c r="F25" s="327"/>
    </row>
    <row r="26" spans="1:6">
      <c r="A26" s="1295" t="s">
        <v>16</v>
      </c>
      <c r="B26" s="1296">
        <v>242</v>
      </c>
      <c r="C26" s="327"/>
      <c r="D26" s="327"/>
      <c r="E26" s="327"/>
      <c r="F26" s="327"/>
    </row>
    <row r="27" spans="1:6">
      <c r="A27" s="1295" t="s">
        <v>17</v>
      </c>
      <c r="B27" s="1296">
        <v>11</v>
      </c>
      <c r="C27" s="327"/>
      <c r="D27" s="327"/>
      <c r="E27" s="327"/>
      <c r="F27" s="327"/>
    </row>
    <row r="28" spans="1:6" s="44" customFormat="1">
      <c r="A28" s="1297" t="s">
        <v>18</v>
      </c>
      <c r="B28" s="1298">
        <v>101</v>
      </c>
      <c r="C28" s="333"/>
      <c r="D28" s="333"/>
      <c r="E28" s="333"/>
      <c r="F28" s="333"/>
    </row>
    <row r="29" spans="1:6">
      <c r="A29" s="1297" t="s">
        <v>961</v>
      </c>
      <c r="B29" s="1298">
        <v>329</v>
      </c>
      <c r="C29" s="333"/>
      <c r="D29" s="333"/>
      <c r="E29" s="333"/>
      <c r="F29" s="333"/>
    </row>
    <row r="30" spans="1:6">
      <c r="A30" s="1290" t="s">
        <v>962</v>
      </c>
      <c r="B30" s="1299">
        <v>72</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14</v>
      </c>
      <c r="D36" s="1296">
        <v>1306258.8093994099</v>
      </c>
      <c r="E36" s="1296">
        <v>55</v>
      </c>
      <c r="F36" s="1296">
        <v>813779.98195218004</v>
      </c>
    </row>
    <row r="37" spans="1:6">
      <c r="A37" s="1295" t="s">
        <v>24</v>
      </c>
      <c r="B37" s="1295" t="s">
        <v>27</v>
      </c>
      <c r="C37" s="1296">
        <v>0</v>
      </c>
      <c r="D37" s="1296">
        <v>0</v>
      </c>
      <c r="E37" s="1296">
        <v>0</v>
      </c>
      <c r="F37" s="1296">
        <v>0</v>
      </c>
    </row>
    <row r="38" spans="1:6">
      <c r="A38" s="1295" t="s">
        <v>24</v>
      </c>
      <c r="B38" s="1295" t="s">
        <v>28</v>
      </c>
      <c r="C38" s="1296">
        <v>2</v>
      </c>
      <c r="D38" s="1296">
        <v>36581892.923075497</v>
      </c>
      <c r="E38" s="1296">
        <v>3</v>
      </c>
      <c r="F38" s="1296">
        <v>141140.66871427701</v>
      </c>
    </row>
    <row r="39" spans="1:6">
      <c r="A39" s="1295" t="s">
        <v>29</v>
      </c>
      <c r="B39" s="1295" t="s">
        <v>30</v>
      </c>
      <c r="C39" s="1296">
        <v>11988</v>
      </c>
      <c r="D39" s="1296">
        <v>199739680.90671</v>
      </c>
      <c r="E39" s="1296">
        <v>15296</v>
      </c>
      <c r="F39" s="1296">
        <v>58137259.482230097</v>
      </c>
    </row>
    <row r="40" spans="1:6">
      <c r="A40" s="1295" t="s">
        <v>29</v>
      </c>
      <c r="B40" s="1295" t="s">
        <v>28</v>
      </c>
      <c r="C40" s="1296">
        <v>0</v>
      </c>
      <c r="D40" s="1296">
        <v>0</v>
      </c>
      <c r="E40" s="1296">
        <v>0</v>
      </c>
      <c r="F40" s="1296">
        <v>0</v>
      </c>
    </row>
    <row r="41" spans="1:6">
      <c r="A41" s="1295" t="s">
        <v>31</v>
      </c>
      <c r="B41" s="1295" t="s">
        <v>32</v>
      </c>
      <c r="C41" s="1296">
        <v>96</v>
      </c>
      <c r="D41" s="1296">
        <v>3017498.5966112101</v>
      </c>
      <c r="E41" s="1296">
        <v>184</v>
      </c>
      <c r="F41" s="1296">
        <v>2297026.1666920199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10</v>
      </c>
      <c r="D44" s="1296">
        <v>621779.92697460798</v>
      </c>
      <c r="E44" s="1296">
        <v>36</v>
      </c>
      <c r="F44" s="1296">
        <v>28924582.6093559</v>
      </c>
    </row>
    <row r="45" spans="1:6">
      <c r="A45" s="1295" t="s">
        <v>31</v>
      </c>
      <c r="B45" s="1295" t="s">
        <v>36</v>
      </c>
      <c r="C45" s="1296">
        <v>0</v>
      </c>
      <c r="D45" s="1296">
        <v>0</v>
      </c>
      <c r="E45" s="1296">
        <v>0</v>
      </c>
      <c r="F45" s="1296">
        <v>0</v>
      </c>
    </row>
    <row r="46" spans="1:6">
      <c r="A46" s="1295" t="s">
        <v>31</v>
      </c>
      <c r="B46" s="1295" t="s">
        <v>37</v>
      </c>
      <c r="C46" s="1296">
        <v>0</v>
      </c>
      <c r="D46" s="1296">
        <v>0</v>
      </c>
      <c r="E46" s="1296">
        <v>0</v>
      </c>
      <c r="F46" s="1296">
        <v>0</v>
      </c>
    </row>
    <row r="47" spans="1:6">
      <c r="A47" s="1295" t="s">
        <v>31</v>
      </c>
      <c r="B47" s="1295" t="s">
        <v>38</v>
      </c>
      <c r="C47" s="1296">
        <v>4</v>
      </c>
      <c r="D47" s="1296">
        <v>159907.81317167301</v>
      </c>
      <c r="E47" s="1296">
        <v>14</v>
      </c>
      <c r="F47" s="1296">
        <v>6110239.7429353204</v>
      </c>
    </row>
    <row r="48" spans="1:6">
      <c r="A48" s="1295" t="s">
        <v>31</v>
      </c>
      <c r="B48" s="1295" t="s">
        <v>28</v>
      </c>
      <c r="C48" s="1296">
        <v>30</v>
      </c>
      <c r="D48" s="1296">
        <v>45977164.285856798</v>
      </c>
      <c r="E48" s="1296">
        <v>38</v>
      </c>
      <c r="F48" s="1296">
        <v>16626391.938655499</v>
      </c>
    </row>
    <row r="49" spans="1:6">
      <c r="A49" s="1295" t="s">
        <v>31</v>
      </c>
      <c r="B49" s="1295" t="s">
        <v>39</v>
      </c>
      <c r="C49" s="1296">
        <v>0</v>
      </c>
      <c r="D49" s="1296">
        <v>0</v>
      </c>
      <c r="E49" s="1296">
        <v>0</v>
      </c>
      <c r="F49" s="1296">
        <v>0</v>
      </c>
    </row>
    <row r="50" spans="1:6">
      <c r="A50" s="1295" t="s">
        <v>31</v>
      </c>
      <c r="B50" s="1295" t="s">
        <v>40</v>
      </c>
      <c r="C50" s="1296">
        <v>22</v>
      </c>
      <c r="D50" s="1296">
        <v>1980226.25535714</v>
      </c>
      <c r="E50" s="1296">
        <v>31</v>
      </c>
      <c r="F50" s="1296">
        <v>1140117.5238625901</v>
      </c>
    </row>
    <row r="51" spans="1:6">
      <c r="A51" s="1295" t="s">
        <v>41</v>
      </c>
      <c r="B51" s="1295" t="s">
        <v>42</v>
      </c>
      <c r="C51" s="1296">
        <v>27</v>
      </c>
      <c r="D51" s="1296">
        <v>170413735.94567299</v>
      </c>
      <c r="E51" s="1296">
        <v>116</v>
      </c>
      <c r="F51" s="1296">
        <v>3408676.3462812798</v>
      </c>
    </row>
    <row r="52" spans="1:6">
      <c r="A52" s="1295" t="s">
        <v>41</v>
      </c>
      <c r="B52" s="1295" t="s">
        <v>28</v>
      </c>
      <c r="C52" s="1296">
        <v>4</v>
      </c>
      <c r="D52" s="1296">
        <v>138596.92221043099</v>
      </c>
      <c r="E52" s="1296">
        <v>4</v>
      </c>
      <c r="F52" s="1296">
        <v>66201.688684236302</v>
      </c>
    </row>
    <row r="53" spans="1:6">
      <c r="A53" s="1295" t="s">
        <v>43</v>
      </c>
      <c r="B53" s="1295" t="s">
        <v>44</v>
      </c>
      <c r="C53" s="1296">
        <v>296</v>
      </c>
      <c r="D53" s="1296">
        <v>8949113.5946274903</v>
      </c>
      <c r="E53" s="1296">
        <v>564</v>
      </c>
      <c r="F53" s="1296">
        <v>2657182.8300528298</v>
      </c>
    </row>
    <row r="54" spans="1:6">
      <c r="A54" s="1295" t="s">
        <v>45</v>
      </c>
      <c r="B54" s="1295" t="s">
        <v>46</v>
      </c>
      <c r="C54" s="1296">
        <v>0</v>
      </c>
      <c r="D54" s="1296">
        <v>0</v>
      </c>
      <c r="E54" s="1296">
        <v>2</v>
      </c>
      <c r="F54" s="1296">
        <v>2292575</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111</v>
      </c>
      <c r="D57" s="1296">
        <v>6085884.2391702104</v>
      </c>
      <c r="E57" s="1296">
        <v>173</v>
      </c>
      <c r="F57" s="1296">
        <v>6986266.5210572397</v>
      </c>
    </row>
    <row r="58" spans="1:6">
      <c r="A58" s="1295" t="s">
        <v>48</v>
      </c>
      <c r="B58" s="1295" t="s">
        <v>50</v>
      </c>
      <c r="C58" s="1296">
        <v>94</v>
      </c>
      <c r="D58" s="1296">
        <v>10364550.237940701</v>
      </c>
      <c r="E58" s="1296">
        <v>108</v>
      </c>
      <c r="F58" s="1296">
        <v>2359475.6005287701</v>
      </c>
    </row>
    <row r="59" spans="1:6">
      <c r="A59" s="1295" t="s">
        <v>48</v>
      </c>
      <c r="B59" s="1295" t="s">
        <v>51</v>
      </c>
      <c r="C59" s="1296">
        <v>337</v>
      </c>
      <c r="D59" s="1296">
        <v>15566495.8693274</v>
      </c>
      <c r="E59" s="1296">
        <v>566</v>
      </c>
      <c r="F59" s="1296">
        <v>22008426.1793736</v>
      </c>
    </row>
    <row r="60" spans="1:6">
      <c r="A60" s="1295" t="s">
        <v>48</v>
      </c>
      <c r="B60" s="1295" t="s">
        <v>52</v>
      </c>
      <c r="C60" s="1296">
        <v>148</v>
      </c>
      <c r="D60" s="1296">
        <v>8324726.5728606796</v>
      </c>
      <c r="E60" s="1296">
        <v>188</v>
      </c>
      <c r="F60" s="1296">
        <v>5700326.2383123096</v>
      </c>
    </row>
    <row r="61" spans="1:6">
      <c r="A61" s="1295" t="s">
        <v>48</v>
      </c>
      <c r="B61" s="1295" t="s">
        <v>53</v>
      </c>
      <c r="C61" s="1296">
        <v>325</v>
      </c>
      <c r="D61" s="1296">
        <v>19411630.2263643</v>
      </c>
      <c r="E61" s="1296">
        <v>762</v>
      </c>
      <c r="F61" s="1296">
        <v>10885969.057973901</v>
      </c>
    </row>
    <row r="62" spans="1:6">
      <c r="A62" s="1295" t="s">
        <v>48</v>
      </c>
      <c r="B62" s="1295" t="s">
        <v>54</v>
      </c>
      <c r="C62" s="1296">
        <v>25</v>
      </c>
      <c r="D62" s="1296">
        <v>5438812.9260911699</v>
      </c>
      <c r="E62" s="1296">
        <v>35</v>
      </c>
      <c r="F62" s="1296">
        <v>2517037.7895192201</v>
      </c>
    </row>
    <row r="63" spans="1:6">
      <c r="A63" s="1295" t="s">
        <v>48</v>
      </c>
      <c r="B63" s="1295" t="s">
        <v>28</v>
      </c>
      <c r="C63" s="1296">
        <v>109</v>
      </c>
      <c r="D63" s="1296">
        <v>10008183.0826046</v>
      </c>
      <c r="E63" s="1296">
        <v>96</v>
      </c>
      <c r="F63" s="1296">
        <v>7628027.7712506996</v>
      </c>
    </row>
    <row r="64" spans="1:6">
      <c r="A64" s="1295" t="s">
        <v>55</v>
      </c>
      <c r="B64" s="1295" t="s">
        <v>56</v>
      </c>
      <c r="C64" s="1296">
        <v>0</v>
      </c>
      <c r="D64" s="1296">
        <v>0</v>
      </c>
      <c r="E64" s="1296">
        <v>0</v>
      </c>
      <c r="F64" s="1296">
        <v>0</v>
      </c>
    </row>
    <row r="65" spans="1:6">
      <c r="A65" s="1295" t="s">
        <v>55</v>
      </c>
      <c r="B65" s="1295" t="s">
        <v>28</v>
      </c>
      <c r="C65" s="1296">
        <v>3</v>
      </c>
      <c r="D65" s="1296">
        <v>230168.16034568701</v>
      </c>
      <c r="E65" s="1296">
        <v>3</v>
      </c>
      <c r="F65" s="1296">
        <v>57817.82670926</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19</v>
      </c>
      <c r="D68" s="1299">
        <v>645159.21784448996</v>
      </c>
      <c r="E68" s="1299">
        <v>39</v>
      </c>
      <c r="F68" s="1299">
        <v>746447.98734318698</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175766695</v>
      </c>
      <c r="E73" s="447"/>
      <c r="F73" s="327"/>
    </row>
    <row r="74" spans="1:6">
      <c r="A74" s="1295" t="s">
        <v>63</v>
      </c>
      <c r="B74" s="1295" t="s">
        <v>755</v>
      </c>
      <c r="C74" s="1309" t="s">
        <v>749</v>
      </c>
      <c r="D74" s="1310">
        <v>20076949.70022225</v>
      </c>
      <c r="E74" s="447"/>
      <c r="F74" s="327"/>
    </row>
    <row r="75" spans="1:6">
      <c r="A75" s="1295" t="s">
        <v>64</v>
      </c>
      <c r="B75" s="1295" t="s">
        <v>754</v>
      </c>
      <c r="C75" s="1309" t="s">
        <v>750</v>
      </c>
      <c r="D75" s="1310">
        <v>17115381</v>
      </c>
      <c r="E75" s="447"/>
      <c r="F75" s="327"/>
    </row>
    <row r="76" spans="1:6">
      <c r="A76" s="1295" t="s">
        <v>64</v>
      </c>
      <c r="B76" s="1295" t="s">
        <v>755</v>
      </c>
      <c r="C76" s="1309" t="s">
        <v>751</v>
      </c>
      <c r="D76" s="1310">
        <v>496271.70022225147</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1355404.5995554971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2802.4918315042341</v>
      </c>
      <c r="C91" s="327"/>
      <c r="D91" s="327"/>
      <c r="E91" s="327"/>
      <c r="F91" s="327"/>
    </row>
    <row r="92" spans="1:6">
      <c r="A92" s="1290" t="s">
        <v>68</v>
      </c>
      <c r="B92" s="1291">
        <v>4912.5116883250012</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8975</v>
      </c>
      <c r="C97" s="327"/>
      <c r="D97" s="327"/>
      <c r="E97" s="327"/>
      <c r="F97" s="327"/>
    </row>
    <row r="98" spans="1:6">
      <c r="A98" s="1295" t="s">
        <v>71</v>
      </c>
      <c r="B98" s="1296">
        <v>10</v>
      </c>
      <c r="C98" s="327"/>
      <c r="D98" s="327"/>
      <c r="E98" s="327"/>
      <c r="F98" s="327"/>
    </row>
    <row r="99" spans="1:6">
      <c r="A99" s="1295" t="s">
        <v>72</v>
      </c>
      <c r="B99" s="1296">
        <v>93</v>
      </c>
      <c r="C99" s="327"/>
      <c r="D99" s="327"/>
      <c r="E99" s="327"/>
      <c r="F99" s="327"/>
    </row>
    <row r="100" spans="1:6">
      <c r="A100" s="1295" t="s">
        <v>73</v>
      </c>
      <c r="B100" s="1296">
        <v>1324</v>
      </c>
      <c r="C100" s="327"/>
      <c r="D100" s="327"/>
      <c r="E100" s="327"/>
      <c r="F100" s="327"/>
    </row>
    <row r="101" spans="1:6">
      <c r="A101" s="1295" t="s">
        <v>74</v>
      </c>
      <c r="B101" s="1296">
        <v>71</v>
      </c>
      <c r="C101" s="327"/>
      <c r="D101" s="327"/>
      <c r="E101" s="327"/>
      <c r="F101" s="327"/>
    </row>
    <row r="102" spans="1:6">
      <c r="A102" s="1295" t="s">
        <v>75</v>
      </c>
      <c r="B102" s="1296">
        <v>164</v>
      </c>
      <c r="C102" s="327"/>
      <c r="D102" s="327"/>
      <c r="E102" s="327"/>
      <c r="F102" s="327"/>
    </row>
    <row r="103" spans="1:6">
      <c r="A103" s="1295" t="s">
        <v>76</v>
      </c>
      <c r="B103" s="1296">
        <v>319</v>
      </c>
      <c r="C103" s="327"/>
      <c r="D103" s="327"/>
      <c r="E103" s="327"/>
      <c r="F103" s="327"/>
    </row>
    <row r="104" spans="1:6">
      <c r="A104" s="1295" t="s">
        <v>77</v>
      </c>
      <c r="B104" s="1296">
        <v>2496</v>
      </c>
      <c r="C104" s="327"/>
      <c r="D104" s="327"/>
      <c r="E104" s="327"/>
      <c r="F104" s="327"/>
    </row>
    <row r="105" spans="1:6">
      <c r="A105" s="1290" t="s">
        <v>78</v>
      </c>
      <c r="B105" s="1299">
        <v>2</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11</v>
      </c>
      <c r="C123" s="1296">
        <v>26</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57</v>
      </c>
      <c r="C129" s="327"/>
      <c r="D129" s="327"/>
      <c r="E129" s="327"/>
      <c r="F129" s="327"/>
    </row>
    <row r="130" spans="1:6">
      <c r="A130" s="1295" t="s">
        <v>290</v>
      </c>
      <c r="B130" s="1296">
        <v>2</v>
      </c>
      <c r="C130" s="327"/>
      <c r="D130" s="327"/>
      <c r="E130" s="327"/>
      <c r="F130" s="327"/>
    </row>
    <row r="131" spans="1:6">
      <c r="A131" s="1295" t="s">
        <v>291</v>
      </c>
      <c r="B131" s="1296">
        <v>5</v>
      </c>
      <c r="C131" s="327"/>
      <c r="D131" s="327"/>
      <c r="E131" s="327"/>
      <c r="F131" s="327"/>
    </row>
    <row r="132" spans="1:6">
      <c r="A132" s="1290" t="s">
        <v>292</v>
      </c>
      <c r="B132" s="1291">
        <v>8</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182580.76296116764</v>
      </c>
      <c r="C3" s="44" t="s">
        <v>169</v>
      </c>
      <c r="D3" s="44"/>
      <c r="E3" s="157"/>
      <c r="F3" s="44"/>
      <c r="G3" s="44"/>
      <c r="H3" s="44"/>
      <c r="I3" s="44"/>
      <c r="J3" s="44"/>
      <c r="K3" s="97"/>
    </row>
    <row r="4" spans="1:11">
      <c r="A4" s="354" t="s">
        <v>170</v>
      </c>
      <c r="B4" s="50">
        <f>IF(ISERROR('SEAP template'!B78+'SEAP template'!C78),0,'SEAP template'!B78+'SEAP template'!C78)</f>
        <v>82802.003519829246</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12264.709425094214</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0.18794869024032115</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16855.1537891915</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92120.78571428571</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0.1829679768632029</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2292.5749999999998</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2292.5749999999998</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0.18794869024032115</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430.88646852770421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58137.259482230096</v>
      </c>
      <c r="C5" s="18">
        <f>IF(ISERROR('Eigen informatie GS &amp; warmtenet'!B57),0,'Eigen informatie GS &amp; warmtenet'!B57)</f>
        <v>0</v>
      </c>
      <c r="D5" s="31">
        <f>(SUM(HH_hh_gas_kWh,HH_rest_gas_kWh)/1000)*0.902</f>
        <v>180165.19217785244</v>
      </c>
      <c r="E5" s="18">
        <f>B32*B41</f>
        <v>1886.1678806875791</v>
      </c>
      <c r="F5" s="18">
        <f>B36*B45</f>
        <v>57503.782578761922</v>
      </c>
      <c r="G5" s="19"/>
      <c r="H5" s="18"/>
      <c r="I5" s="18"/>
      <c r="J5" s="18">
        <f>B35*B44+C35*C44</f>
        <v>1043.3860979381586</v>
      </c>
      <c r="K5" s="18"/>
      <c r="L5" s="18"/>
      <c r="M5" s="18"/>
      <c r="N5" s="18">
        <f>B34*B43+C34*C43</f>
        <v>20503.643576722225</v>
      </c>
      <c r="O5" s="18">
        <f>B52*B53*B54</f>
        <v>129.75666666666669</v>
      </c>
      <c r="P5" s="18">
        <f>B60*B61*B62/1000-B60*B61*B62/1000/B63</f>
        <v>362.26666666666665</v>
      </c>
    </row>
    <row r="6" spans="1:16">
      <c r="A6" s="17" t="s">
        <v>628</v>
      </c>
      <c r="B6" s="768">
        <f>kWh_PV_kleiner_dan_10kW</f>
        <v>2802.4918315042341</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60939.751313734334</v>
      </c>
      <c r="C8" s="22">
        <f>C5</f>
        <v>0</v>
      </c>
      <c r="D8" s="22">
        <f>D5</f>
        <v>180165.19217785244</v>
      </c>
      <c r="E8" s="22">
        <f>E5</f>
        <v>1886.1678806875791</v>
      </c>
      <c r="F8" s="22">
        <f>F5</f>
        <v>57503.782578761922</v>
      </c>
      <c r="G8" s="22"/>
      <c r="H8" s="22"/>
      <c r="I8" s="22"/>
      <c r="J8" s="22">
        <f>J5</f>
        <v>1043.3860979381586</v>
      </c>
      <c r="K8" s="22"/>
      <c r="L8" s="22">
        <f>L5</f>
        <v>0</v>
      </c>
      <c r="M8" s="22">
        <f>M5</f>
        <v>0</v>
      </c>
      <c r="N8" s="22">
        <f>N5</f>
        <v>20503.643576722225</v>
      </c>
      <c r="O8" s="22">
        <f>O5</f>
        <v>129.75666666666669</v>
      </c>
      <c r="P8" s="22">
        <f>P5</f>
        <v>362.26666666666665</v>
      </c>
    </row>
    <row r="9" spans="1:16">
      <c r="B9" s="20"/>
      <c r="C9" s="20"/>
      <c r="D9" s="258"/>
      <c r="E9" s="20"/>
      <c r="F9" s="20"/>
      <c r="G9" s="20"/>
      <c r="H9" s="20"/>
      <c r="I9" s="20"/>
      <c r="J9" s="20"/>
      <c r="K9" s="20"/>
      <c r="L9" s="20"/>
      <c r="M9" s="20"/>
      <c r="N9" s="20"/>
      <c r="O9" s="20"/>
      <c r="P9" s="20"/>
    </row>
    <row r="10" spans="1:16">
      <c r="A10" s="25" t="s">
        <v>213</v>
      </c>
      <c r="B10" s="26">
        <f ca="1">'EF ele_warmte'!B12</f>
        <v>0.18794869024032115</v>
      </c>
      <c r="C10" s="26">
        <f ca="1">'EF ele_warmte'!B22</f>
        <v>0.1829679768632029</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11453.546442987259</v>
      </c>
      <c r="C12" s="24">
        <f ca="1">C10*C8</f>
        <v>0</v>
      </c>
      <c r="D12" s="24">
        <f>D8*D10</f>
        <v>36393.368819926196</v>
      </c>
      <c r="E12" s="24">
        <f>E10*E8</f>
        <v>428.16010891608045</v>
      </c>
      <c r="F12" s="24">
        <f>F10*F8</f>
        <v>15353.509948529434</v>
      </c>
      <c r="G12" s="24"/>
      <c r="H12" s="24"/>
      <c r="I12" s="24"/>
      <c r="J12" s="24">
        <f>J10*J8</f>
        <v>369.35867867010813</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15034</v>
      </c>
      <c r="C26" s="37"/>
      <c r="D26" s="228"/>
    </row>
    <row r="27" spans="1:5" s="16" customFormat="1">
      <c r="A27" s="230" t="s">
        <v>654</v>
      </c>
      <c r="B27" s="38">
        <f>SUM(HH_hh_gas_aantal,HH_rest_gas_aantal)</f>
        <v>11988</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11388.6</v>
      </c>
      <c r="C31" s="35" t="s">
        <v>110</v>
      </c>
      <c r="D31" s="174"/>
    </row>
    <row r="32" spans="1:5">
      <c r="A32" s="171" t="s">
        <v>72</v>
      </c>
      <c r="B32" s="34">
        <f>IF((B21*($B$26-($B$27-0.05*$B$27)-$B$60))&lt;0,0,B21*($B$26-($B$27-0.05*$B$27)-$B$60))</f>
        <v>89.119978773132431</v>
      </c>
      <c r="C32" s="35" t="s">
        <v>110</v>
      </c>
      <c r="D32" s="174"/>
    </row>
    <row r="33" spans="1:6">
      <c r="A33" s="171" t="s">
        <v>73</v>
      </c>
      <c r="B33" s="34">
        <f>IF((B22*($B$26-($B$27-0.05*$B$27)-$B$60))&lt;0,0,B22*($B$26-($B$27-0.05*$B$27)-$B$60))</f>
        <v>599.88198057507577</v>
      </c>
      <c r="C33" s="35" t="s">
        <v>110</v>
      </c>
      <c r="D33" s="174"/>
    </row>
    <row r="34" spans="1:6">
      <c r="A34" s="171" t="s">
        <v>74</v>
      </c>
      <c r="B34" s="34">
        <f>IF((B24*($B$26-($B$27-0.05*$B$27)-$B$60))&lt;0,0,B24*($B$26-($B$27-0.05*$B$27)-$B$60))</f>
        <v>152.14271464027877</v>
      </c>
      <c r="C34" s="34">
        <f>B26*C24</f>
        <v>3074.4879941768322</v>
      </c>
      <c r="D34" s="233"/>
    </row>
    <row r="35" spans="1:6">
      <c r="A35" s="171" t="s">
        <v>76</v>
      </c>
      <c r="B35" s="34">
        <f>IF((B19*($B$26-($B$27-0.05*$B$27)-$B$60))&lt;0,0,B19*($B$26-($B$27-0.05*$B$27)-$B$60))</f>
        <v>56.561846610231896</v>
      </c>
      <c r="C35" s="34">
        <f>B35/2</f>
        <v>28.280923305115948</v>
      </c>
      <c r="D35" s="233"/>
    </row>
    <row r="36" spans="1:6">
      <c r="A36" s="171" t="s">
        <v>77</v>
      </c>
      <c r="B36" s="34">
        <f>IF((B18*($B$26-($B$27-0.05*$B$27)-$B$60))&lt;0,0,B18*($B$26-($B$27-0.05*$B$27)-$B$60))</f>
        <v>2728.69347940128</v>
      </c>
      <c r="C36" s="35" t="s">
        <v>110</v>
      </c>
      <c r="D36" s="174"/>
    </row>
    <row r="37" spans="1:6">
      <c r="A37" s="171" t="s">
        <v>78</v>
      </c>
      <c r="B37" s="34">
        <f>B60</f>
        <v>19</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83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19</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58085.529158015743</v>
      </c>
      <c r="C5" s="18">
        <f>IF(ISERROR('Eigen informatie GS &amp; warmtenet'!B58),0,'Eigen informatie GS &amp; warmtenet'!B58)</f>
        <v>0</v>
      </c>
      <c r="D5" s="31">
        <f>SUM(D6:D12)</f>
        <v>67830.655405231882</v>
      </c>
      <c r="E5" s="18">
        <f>SUM(E6:E12)</f>
        <v>559.14290853291402</v>
      </c>
      <c r="F5" s="18">
        <f>SUM(F6:F12)</f>
        <v>12425.894592777568</v>
      </c>
      <c r="G5" s="19"/>
      <c r="H5" s="18"/>
      <c r="I5" s="18"/>
      <c r="J5" s="18">
        <f>SUM(J6:J12)</f>
        <v>0</v>
      </c>
      <c r="K5" s="18"/>
      <c r="L5" s="18"/>
      <c r="M5" s="18"/>
      <c r="N5" s="18">
        <f>SUM(N6:N12)</f>
        <v>4672.6330561207978</v>
      </c>
      <c r="O5" s="18">
        <f>B38*B39*B40</f>
        <v>3.1266666666666669</v>
      </c>
      <c r="P5" s="18">
        <f>B46*B47*B48/1000-B46*B47*B48/1000/B49</f>
        <v>95.333333333333343</v>
      </c>
      <c r="R5" s="33"/>
    </row>
    <row r="6" spans="1:18">
      <c r="A6" s="33" t="s">
        <v>53</v>
      </c>
      <c r="B6" s="38">
        <f>B26</f>
        <v>10885.9690579739</v>
      </c>
      <c r="C6" s="34"/>
      <c r="D6" s="38">
        <f>IF(ISERROR(TER_kantoor_gas_kWh/1000),0,TER_kantoor_gas_kWh/1000)*0.902</f>
        <v>17509.290464180602</v>
      </c>
      <c r="E6" s="34">
        <f>$C$26*'E Balans VL '!I12/100/3.6*1000000</f>
        <v>17.866081547155957</v>
      </c>
      <c r="F6" s="34">
        <f>$C$26*('E Balans VL '!L12+'E Balans VL '!N12)/100/3.6*1000000</f>
        <v>1283.1996189923714</v>
      </c>
      <c r="G6" s="35"/>
      <c r="H6" s="34"/>
      <c r="I6" s="34"/>
      <c r="J6" s="34">
        <f>$C$26*('E Balans VL '!D12+'E Balans VL '!E12)/100/3.6*1000000</f>
        <v>0</v>
      </c>
      <c r="K6" s="34"/>
      <c r="L6" s="34"/>
      <c r="M6" s="34"/>
      <c r="N6" s="34">
        <f>$C$26*'E Balans VL '!Y12/100/3.6*1000000</f>
        <v>2.1994584988799311</v>
      </c>
      <c r="O6" s="34"/>
      <c r="P6" s="34"/>
      <c r="R6" s="33"/>
    </row>
    <row r="7" spans="1:18">
      <c r="A7" s="33" t="s">
        <v>52</v>
      </c>
      <c r="B7" s="38">
        <f t="shared" ref="B7:B12" si="0">B27</f>
        <v>5700.3262383123092</v>
      </c>
      <c r="C7" s="34"/>
      <c r="D7" s="38">
        <f>IF(ISERROR(TER_horeca_gas_kWh/1000),0,TER_horeca_gas_kWh/1000)*0.902</f>
        <v>7508.9033687203337</v>
      </c>
      <c r="E7" s="34">
        <f>$C$27*'E Balans VL '!I9/100/3.6*1000000</f>
        <v>295.80568332506459</v>
      </c>
      <c r="F7" s="34">
        <f>$C$27*('E Balans VL '!L9+'E Balans VL '!N9)/100/3.6*1000000</f>
        <v>1300.8185837600872</v>
      </c>
      <c r="G7" s="35"/>
      <c r="H7" s="34"/>
      <c r="I7" s="34"/>
      <c r="J7" s="34">
        <f>$C$27*('E Balans VL '!D9+'E Balans VL '!E9)/100/3.6*1000000</f>
        <v>0</v>
      </c>
      <c r="K7" s="34"/>
      <c r="L7" s="34"/>
      <c r="M7" s="34"/>
      <c r="N7" s="34">
        <f>$C$27*'E Balans VL '!Y9/100/3.6*1000000</f>
        <v>0.60195183847731393</v>
      </c>
      <c r="O7" s="34"/>
      <c r="P7" s="34"/>
      <c r="R7" s="33"/>
    </row>
    <row r="8" spans="1:18">
      <c r="A8" s="6" t="s">
        <v>51</v>
      </c>
      <c r="B8" s="38">
        <f t="shared" si="0"/>
        <v>22008.4261793736</v>
      </c>
      <c r="C8" s="34"/>
      <c r="D8" s="38">
        <f>IF(ISERROR(TER_handel_gas_kWh/1000),0,TER_handel_gas_kWh/1000)*0.902</f>
        <v>14040.979274133315</v>
      </c>
      <c r="E8" s="34">
        <f>$C$28*'E Balans VL '!I13/100/3.6*1000000</f>
        <v>118.51807945205034</v>
      </c>
      <c r="F8" s="34">
        <f>$C$28*('E Balans VL '!L13+'E Balans VL '!N13)/100/3.6*1000000</f>
        <v>4488.172129493827</v>
      </c>
      <c r="G8" s="35"/>
      <c r="H8" s="34"/>
      <c r="I8" s="34"/>
      <c r="J8" s="34">
        <f>$C$28*('E Balans VL '!D13+'E Balans VL '!E13)/100/3.6*1000000</f>
        <v>0</v>
      </c>
      <c r="K8" s="34"/>
      <c r="L8" s="34"/>
      <c r="M8" s="34"/>
      <c r="N8" s="34">
        <f>$C$28*'E Balans VL '!Y13/100/3.6*1000000</f>
        <v>109.43628107314572</v>
      </c>
      <c r="O8" s="34"/>
      <c r="P8" s="34"/>
      <c r="R8" s="33"/>
    </row>
    <row r="9" spans="1:18">
      <c r="A9" s="33" t="s">
        <v>50</v>
      </c>
      <c r="B9" s="38">
        <f t="shared" si="0"/>
        <v>2359.47560052877</v>
      </c>
      <c r="C9" s="34"/>
      <c r="D9" s="38">
        <f>IF(ISERROR(TER_gezond_gas_kWh/1000),0,TER_gezond_gas_kWh/1000)*0.902</f>
        <v>9348.8243146225122</v>
      </c>
      <c r="E9" s="34">
        <f>$C$29*'E Balans VL '!I10/100/3.6*1000000</f>
        <v>2.338267151969494</v>
      </c>
      <c r="F9" s="34">
        <f>$C$29*('E Balans VL '!L10+'E Balans VL '!N10)/100/3.6*1000000</f>
        <v>818.6700241084302</v>
      </c>
      <c r="G9" s="35"/>
      <c r="H9" s="34"/>
      <c r="I9" s="34"/>
      <c r="J9" s="34">
        <f>$C$29*('E Balans VL '!D10+'E Balans VL '!E10)/100/3.6*1000000</f>
        <v>0</v>
      </c>
      <c r="K9" s="34"/>
      <c r="L9" s="34"/>
      <c r="M9" s="34"/>
      <c r="N9" s="34">
        <f>$C$29*'E Balans VL '!Y10/100/3.6*1000000</f>
        <v>20.331396849365099</v>
      </c>
      <c r="O9" s="34"/>
      <c r="P9" s="34"/>
      <c r="R9" s="33"/>
    </row>
    <row r="10" spans="1:18">
      <c r="A10" s="33" t="s">
        <v>49</v>
      </c>
      <c r="B10" s="38">
        <f t="shared" si="0"/>
        <v>6986.2665210572395</v>
      </c>
      <c r="C10" s="34"/>
      <c r="D10" s="38">
        <f>IF(ISERROR(TER_ander_gas_kWh/1000),0,TER_ander_gas_kWh/1000)*0.902</f>
        <v>5489.4675837315299</v>
      </c>
      <c r="E10" s="34">
        <f>$C$30*'E Balans VL '!I14/100/3.6*1000000</f>
        <v>57.154642418373399</v>
      </c>
      <c r="F10" s="34">
        <f>$C$30*('E Balans VL '!L14+'E Balans VL '!N14)/100/3.6*1000000</f>
        <v>2042.4999080672721</v>
      </c>
      <c r="G10" s="35"/>
      <c r="H10" s="34"/>
      <c r="I10" s="34"/>
      <c r="J10" s="34">
        <f>$C$30*('E Balans VL '!D14+'E Balans VL '!E14)/100/3.6*1000000</f>
        <v>0</v>
      </c>
      <c r="K10" s="34"/>
      <c r="L10" s="34"/>
      <c r="M10" s="34"/>
      <c r="N10" s="34">
        <f>$C$30*'E Balans VL '!Y14/100/3.6*1000000</f>
        <v>4030.1591070284799</v>
      </c>
      <c r="O10" s="34"/>
      <c r="P10" s="34"/>
      <c r="R10" s="33"/>
    </row>
    <row r="11" spans="1:18">
      <c r="A11" s="33" t="s">
        <v>54</v>
      </c>
      <c r="B11" s="38">
        <f t="shared" si="0"/>
        <v>2517.03778951922</v>
      </c>
      <c r="C11" s="34"/>
      <c r="D11" s="38">
        <f>IF(ISERROR(TER_onderwijs_gas_kWh/1000),0,TER_onderwijs_gas_kWh/1000)*0.902</f>
        <v>4905.8092593342353</v>
      </c>
      <c r="E11" s="34">
        <f>$C$31*'E Balans VL '!I11/100/3.6*1000000</f>
        <v>1.5513958890911448</v>
      </c>
      <c r="F11" s="34">
        <f>$C$31*('E Balans VL '!L11+'E Balans VL '!N11)/100/3.6*1000000</f>
        <v>973.12757202278465</v>
      </c>
      <c r="G11" s="35"/>
      <c r="H11" s="34"/>
      <c r="I11" s="34"/>
      <c r="J11" s="34">
        <f>$C$31*('E Balans VL '!D11+'E Balans VL '!E11)/100/3.6*1000000</f>
        <v>0</v>
      </c>
      <c r="K11" s="34"/>
      <c r="L11" s="34"/>
      <c r="M11" s="34"/>
      <c r="N11" s="34">
        <f>$C$31*'E Balans VL '!Y11/100/3.6*1000000</f>
        <v>8.1873845396244764</v>
      </c>
      <c r="O11" s="34"/>
      <c r="P11" s="34"/>
      <c r="R11" s="33"/>
    </row>
    <row r="12" spans="1:18">
      <c r="A12" s="33" t="s">
        <v>255</v>
      </c>
      <c r="B12" s="38">
        <f t="shared" si="0"/>
        <v>7628.0277712506995</v>
      </c>
      <c r="C12" s="34"/>
      <c r="D12" s="38">
        <f>IF(ISERROR(TER_rest_gas_kWh/1000),0,TER_rest_gas_kWh/1000)*0.902</f>
        <v>9027.3811405093493</v>
      </c>
      <c r="E12" s="34">
        <f>$C$32*'E Balans VL '!I8/100/3.6*1000000</f>
        <v>65.908758749209042</v>
      </c>
      <c r="F12" s="34">
        <f>$C$32*('E Balans VL '!L8+'E Balans VL '!N8)/100/3.6*1000000</f>
        <v>1519.4067563327951</v>
      </c>
      <c r="G12" s="35"/>
      <c r="H12" s="34"/>
      <c r="I12" s="34"/>
      <c r="J12" s="34">
        <f>$C$32*('E Balans VL '!D8+'E Balans VL '!E8)/100/3.6*1000000</f>
        <v>0</v>
      </c>
      <c r="K12" s="34"/>
      <c r="L12" s="34"/>
      <c r="M12" s="34"/>
      <c r="N12" s="34">
        <f>$C$32*'E Balans VL '!Y8/100/3.6*1000000</f>
        <v>501.7174762928251</v>
      </c>
      <c r="O12" s="34"/>
      <c r="P12" s="34"/>
      <c r="R12" s="33"/>
    </row>
    <row r="13" spans="1:18">
      <c r="A13" s="17" t="s">
        <v>495</v>
      </c>
      <c r="B13" s="246">
        <f ca="1">'lokale energieproductie'!N45+'lokale energieproductie'!N38</f>
        <v>0</v>
      </c>
      <c r="C13" s="246">
        <f ca="1">'lokale energieproductie'!O45+'lokale energieproductie'!O38</f>
        <v>0</v>
      </c>
      <c r="D13" s="305">
        <f ca="1">('lokale energieproductie'!P38+'lokale energieproductie'!P45)*(-1)</f>
        <v>0</v>
      </c>
      <c r="E13" s="247"/>
      <c r="F13" s="305">
        <f ca="1">('lokale energieproductie'!S38+'lokale energieproductie'!S45)*(-1)</f>
        <v>0</v>
      </c>
      <c r="G13" s="248"/>
      <c r="H13" s="247"/>
      <c r="I13" s="247"/>
      <c r="J13" s="247"/>
      <c r="K13" s="247"/>
      <c r="L13" s="305">
        <f ca="1">('lokale energieproductie'!U38+'lokale energieproductie'!T38+'lokale energieproductie'!U45+'lokale energieproductie'!T45)*(-1)</f>
        <v>0</v>
      </c>
      <c r="M13" s="247"/>
      <c r="N13" s="305">
        <f ca="1">('lokale energieproductie'!Q38+'lokale energieproductie'!R38+'lokale energieproductie'!V38+'lokale energieproductie'!Q45+'lokale energieproductie'!R45+'lokale energieproductie'!V45)*(-1)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58085.529158015743</v>
      </c>
      <c r="C16" s="22">
        <f t="shared" ca="1" si="1"/>
        <v>0</v>
      </c>
      <c r="D16" s="22">
        <f t="shared" ca="1" si="1"/>
        <v>67830.655405231882</v>
      </c>
      <c r="E16" s="22">
        <f t="shared" si="1"/>
        <v>559.14290853291402</v>
      </c>
      <c r="F16" s="22">
        <f t="shared" ca="1" si="1"/>
        <v>12425.894592777568</v>
      </c>
      <c r="G16" s="22">
        <f t="shared" si="1"/>
        <v>0</v>
      </c>
      <c r="H16" s="22">
        <f t="shared" si="1"/>
        <v>0</v>
      </c>
      <c r="I16" s="22">
        <f t="shared" si="1"/>
        <v>0</v>
      </c>
      <c r="J16" s="22">
        <f t="shared" si="1"/>
        <v>0</v>
      </c>
      <c r="K16" s="22">
        <f t="shared" si="1"/>
        <v>0</v>
      </c>
      <c r="L16" s="22">
        <f t="shared" ca="1" si="1"/>
        <v>0</v>
      </c>
      <c r="M16" s="22">
        <f t="shared" si="1"/>
        <v>0</v>
      </c>
      <c r="N16" s="22">
        <f t="shared" ca="1" si="1"/>
        <v>4672.6330561207978</v>
      </c>
      <c r="O16" s="22">
        <f>O5</f>
        <v>3.1266666666666669</v>
      </c>
      <c r="P16" s="22">
        <f>P5</f>
        <v>95.333333333333343</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0.18794869024032115</v>
      </c>
      <c r="C18" s="26">
        <f ca="1">'EF ele_warmte'!B22</f>
        <v>0.1829679768632029</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10917.099127165044</v>
      </c>
      <c r="C20" s="24">
        <f t="shared" ref="C20:P20" ca="1" si="2">C16*C18</f>
        <v>0</v>
      </c>
      <c r="D20" s="24">
        <f t="shared" ca="1" si="2"/>
        <v>13701.792391856841</v>
      </c>
      <c r="E20" s="24">
        <f t="shared" si="2"/>
        <v>126.92544023697148</v>
      </c>
      <c r="F20" s="24">
        <f t="shared" ca="1" si="2"/>
        <v>3317.7138562716109</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10885.9690579739</v>
      </c>
      <c r="C26" s="40">
        <f>IF(ISERROR(B26*3.6/1000000/'E Balans VL '!Z12*100),0,B26*3.6/1000000/'E Balans VL '!Z12*100)</f>
        <v>0.23131903581559315</v>
      </c>
      <c r="D26" s="236" t="s">
        <v>691</v>
      </c>
      <c r="F26" s="6"/>
    </row>
    <row r="27" spans="1:18">
      <c r="A27" s="231" t="s">
        <v>52</v>
      </c>
      <c r="B27" s="34">
        <f>IF(ISERROR(TER_horeca_ele_kWh/1000),0,TER_horeca_ele_kWh/1000)</f>
        <v>5700.3262383123092</v>
      </c>
      <c r="C27" s="40">
        <f>IF(ISERROR(B27*3.6/1000000/'E Balans VL '!Z9*100),0,B27*3.6/1000000/'E Balans VL '!Z9*100)</f>
        <v>0.44865975538681779</v>
      </c>
      <c r="D27" s="236" t="s">
        <v>691</v>
      </c>
      <c r="F27" s="6"/>
    </row>
    <row r="28" spans="1:18">
      <c r="A28" s="171" t="s">
        <v>51</v>
      </c>
      <c r="B28" s="34">
        <f>IF(ISERROR(TER_handel_ele_kWh/1000),0,TER_handel_ele_kWh/1000)</f>
        <v>22008.4261793736</v>
      </c>
      <c r="C28" s="40">
        <f>IF(ISERROR(B28*3.6/1000000/'E Balans VL '!Z13*100),0,B28*3.6/1000000/'E Balans VL '!Z13*100)</f>
        <v>0.61646779572893617</v>
      </c>
      <c r="D28" s="236" t="s">
        <v>691</v>
      </c>
      <c r="F28" s="6"/>
    </row>
    <row r="29" spans="1:18">
      <c r="A29" s="231" t="s">
        <v>50</v>
      </c>
      <c r="B29" s="34">
        <f>IF(ISERROR(TER_gezond_ele_kWh/1000),0,TER_gezond_ele_kWh/1000)</f>
        <v>2359.47560052877</v>
      </c>
      <c r="C29" s="40">
        <f>IF(ISERROR(B29*3.6/1000000/'E Balans VL '!Z10*100),0,B29*3.6/1000000/'E Balans VL '!Z10*100)</f>
        <v>0.30184827697630578</v>
      </c>
      <c r="D29" s="236" t="s">
        <v>691</v>
      </c>
      <c r="F29" s="6"/>
    </row>
    <row r="30" spans="1:18">
      <c r="A30" s="231" t="s">
        <v>49</v>
      </c>
      <c r="B30" s="34">
        <f>IF(ISERROR(TER_ander_ele_kWh/1000),0,TER_ander_ele_kWh/1000)</f>
        <v>6986.2665210572395</v>
      </c>
      <c r="C30" s="40">
        <f>IF(ISERROR(B30*3.6/1000000/'E Balans VL '!Z14*100),0,B30*3.6/1000000/'E Balans VL '!Z14*100)</f>
        <v>0.52251386846502779</v>
      </c>
      <c r="D30" s="236" t="s">
        <v>691</v>
      </c>
      <c r="F30" s="6"/>
    </row>
    <row r="31" spans="1:18">
      <c r="A31" s="231" t="s">
        <v>54</v>
      </c>
      <c r="B31" s="34">
        <f>IF(ISERROR(TER_onderwijs_ele_kWh/1000),0,TER_onderwijs_ele_kWh/1000)</f>
        <v>2517.03778951922</v>
      </c>
      <c r="C31" s="40">
        <f>IF(ISERROR(B31*3.6/1000000/'E Balans VL '!Z11*100),0,B31*3.6/1000000/'E Balans VL '!Z11*100)</f>
        <v>0.53147578965429909</v>
      </c>
      <c r="D31" s="236" t="s">
        <v>691</v>
      </c>
    </row>
    <row r="32" spans="1:18">
      <c r="A32" s="231" t="s">
        <v>255</v>
      </c>
      <c r="B32" s="34">
        <f>IF(ISERROR(TER_rest_ele_kWh/1000),0,TER_rest_ele_kWh/1000)</f>
        <v>7628.0277712506995</v>
      </c>
      <c r="C32" s="40">
        <f>IF(ISERROR(B32*3.6/1000000/'E Balans VL '!Z8*100),0,B32*3.6/1000000/'E Balans VL '!Z8*100)</f>
        <v>6.2839174572850404E-2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2</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5</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55098.357981501329</v>
      </c>
      <c r="C5" s="18">
        <f>IF(ISERROR('Eigen informatie GS &amp; warmtenet'!B59),0,'Eigen informatie GS &amp; warmtenet'!B59)</f>
        <v>0</v>
      </c>
      <c r="D5" s="31">
        <f>SUM(D6:D15)</f>
        <v>46684.432343930239</v>
      </c>
      <c r="E5" s="18">
        <f>SUM(E6:E15)</f>
        <v>645.42169816452861</v>
      </c>
      <c r="F5" s="18">
        <f>SUM(F6:F15)</f>
        <v>10052.297689405226</v>
      </c>
      <c r="G5" s="19"/>
      <c r="H5" s="18"/>
      <c r="I5" s="18"/>
      <c r="J5" s="18">
        <f>SUM(J6:J15)</f>
        <v>558.15323238478379</v>
      </c>
      <c r="K5" s="18"/>
      <c r="L5" s="18"/>
      <c r="M5" s="18"/>
      <c r="N5" s="18">
        <f>SUM(N6:N15)</f>
        <v>3049.1100449825158</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28924.582609355901</v>
      </c>
      <c r="C8" s="34"/>
      <c r="D8" s="38">
        <f>IF( ISERROR(IND_metaal_Gas_kWH/1000),0,IND_metaal_Gas_kWH/1000)*0.902</f>
        <v>560.84549413109642</v>
      </c>
      <c r="E8" s="34">
        <f>C30*'E Balans VL '!I18/100/3.6*1000000</f>
        <v>263.41096125627121</v>
      </c>
      <c r="F8" s="34">
        <f>C30*'E Balans VL '!L18/100/3.6*1000000+C30*'E Balans VL '!N18/100/3.6*1000000</f>
        <v>3814.9327891209796</v>
      </c>
      <c r="G8" s="35"/>
      <c r="H8" s="34"/>
      <c r="I8" s="34"/>
      <c r="J8" s="41">
        <f>C30*'E Balans VL '!D18/100/3.6*1000000+C30*'E Balans VL '!E18/100/3.6*1000000</f>
        <v>474.32115781175401</v>
      </c>
      <c r="K8" s="34"/>
      <c r="L8" s="34"/>
      <c r="M8" s="34"/>
      <c r="N8" s="34">
        <f>C30*'E Balans VL '!Y18/100/3.6*1000000</f>
        <v>99.402300167389413</v>
      </c>
      <c r="O8" s="34"/>
      <c r="P8" s="34"/>
      <c r="R8" s="33"/>
    </row>
    <row r="9" spans="1:18">
      <c r="A9" s="6" t="s">
        <v>32</v>
      </c>
      <c r="B9" s="38">
        <f t="shared" si="0"/>
        <v>2297.0261666920201</v>
      </c>
      <c r="C9" s="34"/>
      <c r="D9" s="38">
        <f>IF( ISERROR(IND_andere_gas_kWh/1000),0,IND_andere_gas_kWh/1000)*0.902</f>
        <v>2721.7837341433119</v>
      </c>
      <c r="E9" s="34">
        <f>C31*'E Balans VL '!I19/100/3.6*1000000</f>
        <v>13.277154505648248</v>
      </c>
      <c r="F9" s="34">
        <f>C31*'E Balans VL '!L19/100/3.6*1000000+C31*'E Balans VL '!N19/100/3.6*1000000</f>
        <v>1827.3948441288685</v>
      </c>
      <c r="G9" s="35"/>
      <c r="H9" s="34"/>
      <c r="I9" s="34"/>
      <c r="J9" s="41">
        <f>C31*'E Balans VL '!D19/100/3.6*1000000+C31*'E Balans VL '!E19/100/3.6*1000000</f>
        <v>0.2172731607250771</v>
      </c>
      <c r="K9" s="34"/>
      <c r="L9" s="34"/>
      <c r="M9" s="34"/>
      <c r="N9" s="34">
        <f>C31*'E Balans VL '!Y19/100/3.6*1000000</f>
        <v>174.03449372966347</v>
      </c>
      <c r="O9" s="34"/>
      <c r="P9" s="34"/>
      <c r="R9" s="33"/>
    </row>
    <row r="10" spans="1:18">
      <c r="A10" s="6" t="s">
        <v>40</v>
      </c>
      <c r="B10" s="38">
        <f t="shared" si="0"/>
        <v>1140.1175238625901</v>
      </c>
      <c r="C10" s="34"/>
      <c r="D10" s="38">
        <f>IF( ISERROR(IND_voed_gas_kWh/1000),0,IND_voed_gas_kWh/1000)*0.902</f>
        <v>1786.1640823321402</v>
      </c>
      <c r="E10" s="34">
        <f>C32*'E Balans VL '!I20/100/3.6*1000000</f>
        <v>11.210337979528235</v>
      </c>
      <c r="F10" s="34">
        <f>C32*'E Balans VL '!L20/100/3.6*1000000+C32*'E Balans VL '!N20/100/3.6*1000000</f>
        <v>126.62493257354423</v>
      </c>
      <c r="G10" s="35"/>
      <c r="H10" s="34"/>
      <c r="I10" s="34"/>
      <c r="J10" s="41">
        <f>C32*'E Balans VL '!D20/100/3.6*1000000+C32*'E Balans VL '!E20/100/3.6*1000000</f>
        <v>4.4937207437541872E-3</v>
      </c>
      <c r="K10" s="34"/>
      <c r="L10" s="34"/>
      <c r="M10" s="34"/>
      <c r="N10" s="34">
        <f>C32*'E Balans VL '!Y20/100/3.6*1000000</f>
        <v>16.882458689302272</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38</v>
      </c>
      <c r="B13" s="38">
        <f t="shared" si="0"/>
        <v>6110.2397429353205</v>
      </c>
      <c r="C13" s="34"/>
      <c r="D13" s="38">
        <f>IF( ISERROR(IND_papier_gas_kWh/1000),0,IND_papier_gas_kWh/1000)*0.902</f>
        <v>144.23684748084906</v>
      </c>
      <c r="E13" s="34">
        <f>C35*'E Balans VL '!I23/100/3.6*1000000</f>
        <v>208.12362491922997</v>
      </c>
      <c r="F13" s="34">
        <f>C35*'E Balans VL '!L23/100/3.6*1000000+C35*'E Balans VL '!N23/100/3.6*1000000</f>
        <v>1009.268201293006</v>
      </c>
      <c r="G13" s="35"/>
      <c r="H13" s="34"/>
      <c r="I13" s="34"/>
      <c r="J13" s="41">
        <f>C35*'E Balans VL '!D23/100/3.6*1000000+C35*'E Balans VL '!E23/100/3.6*1000000</f>
        <v>0</v>
      </c>
      <c r="K13" s="34"/>
      <c r="L13" s="34"/>
      <c r="M13" s="34"/>
      <c r="N13" s="34">
        <f>C35*'E Balans VL '!Y23/100/3.6*1000000</f>
        <v>2248.4043614730322</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16626.391938655499</v>
      </c>
      <c r="C15" s="34"/>
      <c r="D15" s="38">
        <f>IF( ISERROR(IND_rest_gas_kWh/1000),0,IND_rest_gas_kWh/1000)*0.902</f>
        <v>41471.402185842839</v>
      </c>
      <c r="E15" s="34">
        <f>C37*'E Balans VL '!I15/100/3.6*1000000</f>
        <v>149.39961950385097</v>
      </c>
      <c r="F15" s="34">
        <f>C37*'E Balans VL '!L15/100/3.6*1000000+C37*'E Balans VL '!N15/100/3.6*1000000</f>
        <v>3274.0769222888271</v>
      </c>
      <c r="G15" s="35"/>
      <c r="H15" s="34"/>
      <c r="I15" s="34"/>
      <c r="J15" s="41">
        <f>C37*'E Balans VL '!D15/100/3.6*1000000+C37*'E Balans VL '!E15/100/3.6*1000000</f>
        <v>83.610307691560962</v>
      </c>
      <c r="K15" s="34"/>
      <c r="L15" s="34"/>
      <c r="M15" s="34"/>
      <c r="N15" s="34">
        <f>C37*'E Balans VL '!Y15/100/3.6*1000000</f>
        <v>510.38643092312839</v>
      </c>
      <c r="O15" s="34"/>
      <c r="P15" s="34"/>
      <c r="R15" s="33"/>
    </row>
    <row r="16" spans="1:18">
      <c r="A16" s="17" t="s">
        <v>495</v>
      </c>
      <c r="B16" s="246">
        <f>'lokale energieproductie'!N44+'lokale energieproductie'!N37</f>
        <v>0</v>
      </c>
      <c r="C16" s="246">
        <f>'lokale energieproductie'!O44+'lokale energieproductie'!O37</f>
        <v>0</v>
      </c>
      <c r="D16" s="305">
        <f>('lokale energieproductie'!P37+'lokale energieproductie'!P44)*(-1)</f>
        <v>0</v>
      </c>
      <c r="E16" s="247"/>
      <c r="F16" s="305">
        <f>('lokale energieproductie'!S37+'lokale energieproductie'!S44)*(-1)</f>
        <v>0</v>
      </c>
      <c r="G16" s="248"/>
      <c r="H16" s="247"/>
      <c r="I16" s="247"/>
      <c r="J16" s="247"/>
      <c r="K16" s="247"/>
      <c r="L16" s="305">
        <f>('lokale energieproductie'!T37+'lokale energieproductie'!U37+'lokale energieproductie'!T44+'lokale energieproductie'!U44)*(-1)</f>
        <v>0</v>
      </c>
      <c r="M16" s="247"/>
      <c r="N16" s="305">
        <f>('lokale energieproductie'!Q37+'lokale energieproductie'!R37+'lokale energieproductie'!V37+'lokale energieproductie'!Q44+'lokale energieproductie'!R44+'lokale energieproductie'!V44)*(-1)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55098.357981501329</v>
      </c>
      <c r="C18" s="22">
        <f>C5+C16</f>
        <v>0</v>
      </c>
      <c r="D18" s="22">
        <f>MAX((D5+D16),0)</f>
        <v>46684.432343930239</v>
      </c>
      <c r="E18" s="22">
        <f>MAX((E5+E16),0)</f>
        <v>645.42169816452861</v>
      </c>
      <c r="F18" s="22">
        <f>MAX((F5+F16),0)</f>
        <v>10052.297689405226</v>
      </c>
      <c r="G18" s="22"/>
      <c r="H18" s="22"/>
      <c r="I18" s="22"/>
      <c r="J18" s="22">
        <f>MAX((J5+J16),0)</f>
        <v>558.15323238478379</v>
      </c>
      <c r="K18" s="22"/>
      <c r="L18" s="22">
        <f>MAX((L5+L16),0)</f>
        <v>0</v>
      </c>
      <c r="M18" s="22"/>
      <c r="N18" s="22">
        <f>MAX((N5+N16),0)</f>
        <v>3049.1100449825158</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0.18794869024032115</v>
      </c>
      <c r="C20" s="26">
        <f ca="1">'EF ele_warmte'!B22</f>
        <v>0.1829679768632029</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10355.664217015519</v>
      </c>
      <c r="C22" s="24">
        <f ca="1">C18*C20</f>
        <v>0</v>
      </c>
      <c r="D22" s="24">
        <f>D18*D20</f>
        <v>9430.2553334739096</v>
      </c>
      <c r="E22" s="24">
        <f>E18*E20</f>
        <v>146.51072548334801</v>
      </c>
      <c r="F22" s="24">
        <f>F18*F20</f>
        <v>2683.9634830711957</v>
      </c>
      <c r="G22" s="24"/>
      <c r="H22" s="24"/>
      <c r="I22" s="24"/>
      <c r="J22" s="24">
        <f>J18*J20</f>
        <v>197.58624426421346</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28924.582609355901</v>
      </c>
      <c r="C30" s="40">
        <f>IF(ISERROR(B30*3.6/1000000/'E Balans VL '!Z18*100),0,B30*3.6/1000000/'E Balans VL '!Z18*100)</f>
        <v>1.6094596051862149</v>
      </c>
      <c r="D30" s="236" t="s">
        <v>691</v>
      </c>
    </row>
    <row r="31" spans="1:18">
      <c r="A31" s="6" t="s">
        <v>32</v>
      </c>
      <c r="B31" s="38">
        <f>IF( ISERROR(IND_ander_ele_kWh/1000),0,IND_ander_ele_kWh/1000)</f>
        <v>2297.0261666920201</v>
      </c>
      <c r="C31" s="40">
        <f>IF(ISERROR(B31*3.6/1000000/'E Balans VL '!Z19*100),0,B31*3.6/1000000/'E Balans VL '!Z19*100)</f>
        <v>0.10678271380345086</v>
      </c>
      <c r="D31" s="236" t="s">
        <v>691</v>
      </c>
    </row>
    <row r="32" spans="1:18">
      <c r="A32" s="171" t="s">
        <v>40</v>
      </c>
      <c r="B32" s="38">
        <f>IF( ISERROR(IND_voed_ele_kWh/1000),0,IND_voed_ele_kWh/1000)</f>
        <v>1140.1175238625901</v>
      </c>
      <c r="C32" s="40">
        <f>IF(ISERROR(B32*3.6/1000000/'E Balans VL '!Z20*100),0,B32*3.6/1000000/'E Balans VL '!Z20*100)</f>
        <v>4.0300851903688491E-2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0</v>
      </c>
      <c r="C34" s="40">
        <f>IF(ISERROR(B34*3.6/1000000/'E Balans VL '!Z22*100),0,B34*3.6/1000000/'E Balans VL '!Z22*100)</f>
        <v>0</v>
      </c>
      <c r="D34" s="236" t="s">
        <v>691</v>
      </c>
    </row>
    <row r="35" spans="1:5">
      <c r="A35" s="171" t="s">
        <v>38</v>
      </c>
      <c r="B35" s="38">
        <f>IF( ISERROR(IND_papier_ele_kWh/1000),0,IND_papier_ele_kWh/1000)</f>
        <v>6110.2397429353205</v>
      </c>
      <c r="C35" s="40">
        <f>IF(ISERROR(B35*3.6/1000000/'E Balans VL '!Z22*100),0,B35*3.6/1000000/'E Balans VL '!Z22*100)</f>
        <v>1.2279858853903485</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16626.391938655499</v>
      </c>
      <c r="C37" s="40">
        <f>IF(ISERROR(B37*3.6/1000000/'E Balans VL '!Z15*100),0,B37*3.6/1000000/'E Balans VL '!Z15*100)</f>
        <v>0.12555382003171736</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3474.8780349655162</v>
      </c>
      <c r="C5" s="18">
        <f>'Eigen informatie GS &amp; warmtenet'!B60</f>
        <v>0</v>
      </c>
      <c r="D5" s="31">
        <f>IF(ISERROR(SUM(LB_lb_gas_kWh,LB_rest_gas_kWh)/1000),0,SUM(LB_lb_gas_kWh,LB_rest_gas_kWh)/1000)*0.902</f>
        <v>153838.20424683084</v>
      </c>
      <c r="E5" s="18">
        <f>B17*'E Balans VL '!I25/3.6*1000000/100</f>
        <v>32.735679334032227</v>
      </c>
      <c r="F5" s="18">
        <f>B17*('E Balans VL '!L25/3.6*1000000+'E Balans VL '!N25/3.6*1000000)/100</f>
        <v>11339.680238833556</v>
      </c>
      <c r="G5" s="19"/>
      <c r="H5" s="18"/>
      <c r="I5" s="18"/>
      <c r="J5" s="18">
        <f>('E Balans VL '!D25+'E Balans VL '!E25)/3.6*1000000*landbouw!B17/100</f>
        <v>429.85931472874972</v>
      </c>
      <c r="K5" s="18"/>
      <c r="L5" s="18">
        <f>L6*(-1)</f>
        <v>65629.28571428571</v>
      </c>
      <c r="M5" s="18"/>
      <c r="N5" s="18">
        <f>N6*(-1)</f>
        <v>0</v>
      </c>
      <c r="O5" s="18"/>
      <c r="P5" s="18"/>
      <c r="R5" s="33"/>
    </row>
    <row r="6" spans="1:18">
      <c r="A6" s="17" t="s">
        <v>495</v>
      </c>
      <c r="B6" s="18" t="s">
        <v>210</v>
      </c>
      <c r="C6" s="18">
        <f>'lokale energieproductie'!O46+'lokale energieproductie'!O39</f>
        <v>92120.78571428571</v>
      </c>
      <c r="D6" s="305">
        <f>('lokale energieproductie'!P39+'lokale energieproductie'!P46)*(-1)</f>
        <v>-134254.28571428571</v>
      </c>
      <c r="E6" s="247"/>
      <c r="F6" s="305">
        <f>('lokale energieproductie'!S39+'lokale energieproductie'!S46)*(-1)</f>
        <v>-7492.5</v>
      </c>
      <c r="G6" s="248"/>
      <c r="H6" s="247"/>
      <c r="I6" s="247"/>
      <c r="J6" s="247"/>
      <c r="K6" s="247"/>
      <c r="L6" s="305">
        <f>('lokale energieproductie'!T39+'lokale energieproductie'!U39+'lokale energieproductie'!T46+'lokale energieproductie'!U46)*(-1)</f>
        <v>-65629.28571428571</v>
      </c>
      <c r="M6" s="247"/>
      <c r="N6" s="305">
        <f>('lokale energieproductie'!V39+'lokale energieproductie'!R39+'lokale energieproductie'!Q39+'lokale energieproductie'!Q46+'lokale energieproductie'!R46+'lokale energieproductie'!V46)*(-1)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3474.8780349655162</v>
      </c>
      <c r="C8" s="22">
        <f>C5+C6</f>
        <v>92120.78571428571</v>
      </c>
      <c r="D8" s="22">
        <f>MAX((D5+D6),0)</f>
        <v>19583.918532545125</v>
      </c>
      <c r="E8" s="22">
        <f>MAX((E5+E6),0)</f>
        <v>32.735679334032227</v>
      </c>
      <c r="F8" s="22">
        <f>MAX((F5+F6),0)</f>
        <v>3847.1802388335564</v>
      </c>
      <c r="G8" s="22"/>
      <c r="H8" s="22"/>
      <c r="I8" s="22"/>
      <c r="J8" s="22">
        <f>MAX((J5+J6),0)</f>
        <v>429.85931472874972</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0.18794869024032115</v>
      </c>
      <c r="C10" s="32">
        <f ca="1">'EF ele_warmte'!B22</f>
        <v>0.1829679768632029</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653.09877541662968</v>
      </c>
      <c r="C12" s="24">
        <f ca="1">C8*C10</f>
        <v>16855.1537891915</v>
      </c>
      <c r="D12" s="24">
        <f>D8*D10</f>
        <v>3955.9515435741155</v>
      </c>
      <c r="E12" s="24">
        <f>E8*E10</f>
        <v>7.4309992088253161</v>
      </c>
      <c r="F12" s="24">
        <f>F8*F10</f>
        <v>1027.1971237685595</v>
      </c>
      <c r="G12" s="24"/>
      <c r="H12" s="24"/>
      <c r="I12" s="24"/>
      <c r="J12" s="24">
        <f>J8*J10</f>
        <v>152.17019741397741</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0.47044295915835488</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213.03755993729402</v>
      </c>
      <c r="C26" s="246">
        <f>B26*'GWP N2O_CH4'!B5</f>
        <v>4473.7887586831748</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33.875102139908968</v>
      </c>
      <c r="C27" s="246">
        <f>B27*'GWP N2O_CH4'!B5</f>
        <v>711.37714493808835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3.6623619435461667</v>
      </c>
      <c r="C28" s="246">
        <f>B28*'GWP N2O_CH4'!B4</f>
        <v>1135.3322024993117</v>
      </c>
      <c r="D28" s="51"/>
    </row>
    <row r="29" spans="1:4">
      <c r="A29" s="42" t="s">
        <v>272</v>
      </c>
      <c r="B29" s="246">
        <f>B34*'ha_N2O bodem landbouw'!B4</f>
        <v>11.146552370217883</v>
      </c>
      <c r="C29" s="246">
        <f>B29*'GWP N2O_CH4'!B4</f>
        <v>3455.4312347675436</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3.0092182435158864E-3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2.8391494254364669E-5</v>
      </c>
      <c r="C5" s="435" t="s">
        <v>210</v>
      </c>
      <c r="D5" s="420">
        <f>SUM(D6:D11)</f>
        <v>3.3514860664907112E-5</v>
      </c>
      <c r="E5" s="420">
        <f>SUM(E6:E11)</f>
        <v>2.1580908185217075E-3</v>
      </c>
      <c r="F5" s="433" t="s">
        <v>210</v>
      </c>
      <c r="G5" s="420">
        <f>SUM(G6:G11)</f>
        <v>0.53458701066056558</v>
      </c>
      <c r="H5" s="420">
        <f>SUM(H6:H11)</f>
        <v>8.1217945273914946E-2</v>
      </c>
      <c r="I5" s="435" t="s">
        <v>210</v>
      </c>
      <c r="J5" s="435" t="s">
        <v>210</v>
      </c>
      <c r="K5" s="435" t="s">
        <v>210</v>
      </c>
      <c r="L5" s="435" t="s">
        <v>210</v>
      </c>
      <c r="M5" s="420">
        <f>SUM(M6:M11)</f>
        <v>2.7507015887865242E-2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2.4678226697449112E-5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2.8742273406934049E-5</v>
      </c>
      <c r="E6" s="423">
        <f>vkm_GW_PW*SUMIFS(TableVerdeelsleutelVkm[LPG],TableVerdeelsleutelVkm[Voertuigtype],"Lichte voertuigen")*SUMIFS(TableECFTransport[EnergieConsumptieFactor (PJ per km)],TableECFTransport[Index],CONCATENATE($A6,"_LPG_LPG"))</f>
        <v>1.864724839439858E-3</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0.29093213358503295</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7.0114598163718109E-2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1.6156864758802257E-2</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1.1751986917659022E-6</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0.19440379890074061</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5.2165466700893832E-6</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8.6503348701239234E-3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2.5090197385856164E-6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4.7725872579730618E-6</v>
      </c>
      <c r="E8" s="423">
        <f>vkm_NGW_PW*SUMIFS(TableVerdeelsleutelVkm[LPG],TableVerdeelsleutelVkm[Voertuigtype],"Lichte voertuigen")*SUMIFS(TableECFTransport[EnergieConsumptieFactor (PJ per km)],TableECFTransport[Index],CONCATENATE($A8,"_LPG_LPG"))</f>
        <v>2.9336597908184931E-4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4.3088938308578968E-2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1.109797492349065E-2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2.4256215818036827E-3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2.9049126564040445E-8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6.1621398662130957E-3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1.5564003608986343E-7</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2.7419467713538201E-4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7.8865261817679633</v>
      </c>
      <c r="C14" s="22"/>
      <c r="D14" s="22">
        <f t="shared" ref="D14:M14" si="0">((D5)*10^9/3600)+D12</f>
        <v>9.3096835180297539</v>
      </c>
      <c r="E14" s="22">
        <f t="shared" si="0"/>
        <v>599.46967181158539</v>
      </c>
      <c r="F14" s="22"/>
      <c r="G14" s="22">
        <f t="shared" si="0"/>
        <v>148496.39185015709</v>
      </c>
      <c r="H14" s="22">
        <f t="shared" si="0"/>
        <v>22560.540353865264</v>
      </c>
      <c r="I14" s="22"/>
      <c r="J14" s="22"/>
      <c r="K14" s="22"/>
      <c r="L14" s="22"/>
      <c r="M14" s="22">
        <f t="shared" si="0"/>
        <v>7640.8377466292341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0.18794869024032115</v>
      </c>
      <c r="C16" s="57">
        <f ca="1">'EF ele_warmte'!B22</f>
        <v>0.1829679768632029</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1.4822622664092897</v>
      </c>
      <c r="C18" s="24"/>
      <c r="D18" s="24">
        <f t="shared" ref="D18:M18" si="1">D14*D16</f>
        <v>1.8805560706420104</v>
      </c>
      <c r="E18" s="24">
        <f t="shared" si="1"/>
        <v>136.07961550122988</v>
      </c>
      <c r="F18" s="24"/>
      <c r="G18" s="24">
        <f t="shared" si="1"/>
        <v>39648.536623991946</v>
      </c>
      <c r="H18" s="24">
        <f t="shared" si="1"/>
        <v>5617.5745481124504</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8.8567620178024272E-5</v>
      </c>
      <c r="C50" s="316">
        <f t="shared" ref="C50:P50" si="2">SUM(C51:C52)</f>
        <v>0</v>
      </c>
      <c r="D50" s="316">
        <f t="shared" si="2"/>
        <v>0</v>
      </c>
      <c r="E50" s="316">
        <f t="shared" si="2"/>
        <v>0</v>
      </c>
      <c r="F50" s="316">
        <f t="shared" si="2"/>
        <v>0</v>
      </c>
      <c r="G50" s="316">
        <f t="shared" si="2"/>
        <v>1.7664986461357834E-2</v>
      </c>
      <c r="H50" s="316">
        <f t="shared" si="2"/>
        <v>0</v>
      </c>
      <c r="I50" s="316">
        <f t="shared" si="2"/>
        <v>0</v>
      </c>
      <c r="J50" s="316">
        <f t="shared" si="2"/>
        <v>0</v>
      </c>
      <c r="K50" s="316">
        <f t="shared" si="2"/>
        <v>0</v>
      </c>
      <c r="L50" s="316">
        <f t="shared" si="2"/>
        <v>0</v>
      </c>
      <c r="M50" s="316">
        <f t="shared" si="2"/>
        <v>7.8077358732532229E-4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8.8567620178024272E-5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1.7664986461357834E-2</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7.8077358732532229E-4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24.602116716117852</v>
      </c>
      <c r="C54" s="22">
        <f t="shared" ref="C54:P54" si="3">(C50)*10^9/3600</f>
        <v>0</v>
      </c>
      <c r="D54" s="22">
        <f t="shared" si="3"/>
        <v>0</v>
      </c>
      <c r="E54" s="22">
        <f t="shared" si="3"/>
        <v>0</v>
      </c>
      <c r="F54" s="22">
        <f t="shared" si="3"/>
        <v>0</v>
      </c>
      <c r="G54" s="22">
        <f t="shared" si="3"/>
        <v>4906.9406837105098</v>
      </c>
      <c r="H54" s="22">
        <f t="shared" si="3"/>
        <v>0</v>
      </c>
      <c r="I54" s="22">
        <f t="shared" si="3"/>
        <v>0</v>
      </c>
      <c r="J54" s="22">
        <f t="shared" si="3"/>
        <v>0</v>
      </c>
      <c r="K54" s="22">
        <f t="shared" si="3"/>
        <v>0</v>
      </c>
      <c r="L54" s="22">
        <f t="shared" si="3"/>
        <v>0</v>
      </c>
      <c r="M54" s="22">
        <f t="shared" si="3"/>
        <v>216.88155203481176</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0.18794869024032115</v>
      </c>
      <c r="C56" s="57">
        <f ca="1">'EF ele_warmte'!B22</f>
        <v>0.1829679768632029</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4.6239356139338614</v>
      </c>
      <c r="C58" s="24">
        <f t="shared" ref="C58:P58" ca="1" si="4">C54*C56</f>
        <v>0</v>
      </c>
      <c r="D58" s="24">
        <f t="shared" si="4"/>
        <v>0</v>
      </c>
      <c r="E58" s="24">
        <f t="shared" si="4"/>
        <v>0</v>
      </c>
      <c r="F58" s="24">
        <f t="shared" si="4"/>
        <v>0</v>
      </c>
      <c r="G58" s="24">
        <f t="shared" si="4"/>
        <v>1310.1531625507062</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8"/>
  <sheetViews>
    <sheetView showGridLines="0" topLeftCell="B297" zoomScale="65" zoomScaleNormal="65" workbookViewId="0">
      <selection activeCell="M35" sqref="M35"/>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7715.0035198292353</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N36</f>
        <v>67032</v>
      </c>
      <c r="C8" s="546">
        <f>B55</f>
        <v>56545.245121601474</v>
      </c>
      <c r="D8" s="969"/>
      <c r="E8" s="969">
        <f>E55</f>
        <v>3155.6925488041816</v>
      </c>
      <c r="F8" s="970"/>
      <c r="G8" s="547"/>
      <c r="H8" s="969">
        <f>I55</f>
        <v>0</v>
      </c>
      <c r="I8" s="969">
        <f>G55+F55</f>
        <v>19160.238800182575</v>
      </c>
      <c r="J8" s="969">
        <f>H55+D55+C55</f>
        <v>0</v>
      </c>
      <c r="K8" s="969"/>
      <c r="L8" s="969"/>
      <c r="M8" s="969"/>
      <c r="N8" s="548"/>
      <c r="O8" s="549">
        <f>C8*$C$12+D8*$D$12+E8*$E$12+F8*$F$12+G8*$G$12+H8*$H$12+I8*$I$12+J8*$J$12</f>
        <v>12264.709425094214</v>
      </c>
      <c r="P8" s="1243"/>
      <c r="Q8" s="1244"/>
      <c r="S8" s="1006"/>
      <c r="T8" s="1264"/>
      <c r="U8" s="1264"/>
    </row>
    <row r="9" spans="1:21" s="534" customFormat="1" ht="17.45" customHeight="1" thickBot="1">
      <c r="A9" s="550" t="s">
        <v>243</v>
      </c>
      <c r="B9" s="971">
        <f>N43+'Eigen informatie GS &amp; warmtenet'!B12</f>
        <v>8055</v>
      </c>
      <c r="C9" s="551">
        <f>P43+IF(ISERROR(('Eigen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S43+IF(ISERROR('Eigen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W43+IF(ISERROR('Eigen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(T43+U43)+IF(ISERROR('Eigen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20137.5</v>
      </c>
      <c r="J9" s="552">
        <f>V43+Q43+R43+IF(ISERROR('Eigen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82802.003519829232</v>
      </c>
      <c r="C10" s="558">
        <f t="shared" ref="C10:L10" si="0">SUM(C8:C9)</f>
        <v>56545.245121601474</v>
      </c>
      <c r="D10" s="558">
        <f t="shared" si="0"/>
        <v>0</v>
      </c>
      <c r="E10" s="558">
        <f t="shared" si="0"/>
        <v>3155.6925488041816</v>
      </c>
      <c r="F10" s="558">
        <f t="shared" si="0"/>
        <v>0</v>
      </c>
      <c r="G10" s="558">
        <f t="shared" si="0"/>
        <v>0</v>
      </c>
      <c r="H10" s="558">
        <f t="shared" si="0"/>
        <v>0</v>
      </c>
      <c r="I10" s="558">
        <f t="shared" si="0"/>
        <v>39297.738800182575</v>
      </c>
      <c r="J10" s="558">
        <f t="shared" si="0"/>
        <v>0</v>
      </c>
      <c r="K10" s="558">
        <f t="shared" si="0"/>
        <v>0</v>
      </c>
      <c r="L10" s="558">
        <f t="shared" si="0"/>
        <v>0</v>
      </c>
      <c r="M10" s="973"/>
      <c r="N10" s="973"/>
      <c r="O10" s="559">
        <f>SUM(O4:O9)</f>
        <v>12264.709425094214</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O36</f>
        <v>92120.78571428571</v>
      </c>
      <c r="C17" s="570">
        <f>B56</f>
        <v>77709.040592684236</v>
      </c>
      <c r="D17" s="571"/>
      <c r="E17" s="571">
        <f>E56</f>
        <v>4336.8074511958184</v>
      </c>
      <c r="F17" s="572"/>
      <c r="G17" s="573"/>
      <c r="H17" s="570">
        <f>I56</f>
        <v>0</v>
      </c>
      <c r="I17" s="571">
        <f>G56+F56</f>
        <v>26331.546914103143</v>
      </c>
      <c r="J17" s="571">
        <f>H56+D56+C56</f>
        <v>0</v>
      </c>
      <c r="K17" s="571"/>
      <c r="L17" s="571"/>
      <c r="M17" s="571"/>
      <c r="N17" s="976"/>
      <c r="O17" s="574">
        <f>C17*$C$22+E17*$E$22+H17*$H$22+I17*$I$22+J17*$J$22+D17*$D$22+F17*$F$22+G17*$G$22+K17*$K$22+L17*$L$22</f>
        <v>16855.1537891915</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92120.78571428571</v>
      </c>
      <c r="C20" s="557">
        <f>SUM(C17:C19)</f>
        <v>77709.040592684236</v>
      </c>
      <c r="D20" s="557">
        <f t="shared" ref="D20:L20" si="1">SUM(D17:D19)</f>
        <v>0</v>
      </c>
      <c r="E20" s="557">
        <f t="shared" si="1"/>
        <v>4336.8074511958184</v>
      </c>
      <c r="F20" s="557">
        <f t="shared" si="1"/>
        <v>0</v>
      </c>
      <c r="G20" s="557">
        <f t="shared" si="1"/>
        <v>0</v>
      </c>
      <c r="H20" s="557">
        <f t="shared" si="1"/>
        <v>0</v>
      </c>
      <c r="I20" s="557">
        <f t="shared" si="1"/>
        <v>26331.546914103143</v>
      </c>
      <c r="J20" s="557">
        <f t="shared" si="1"/>
        <v>0</v>
      </c>
      <c r="K20" s="557">
        <f t="shared" si="1"/>
        <v>0</v>
      </c>
      <c r="L20" s="557">
        <f t="shared" si="1"/>
        <v>0</v>
      </c>
      <c r="M20" s="557"/>
      <c r="N20" s="557"/>
      <c r="O20" s="578">
        <f>SUM(O17:O19)</f>
        <v>16855.1537891915</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25.5">
      <c r="A28" s="582"/>
      <c r="B28" s="777">
        <v>12021</v>
      </c>
      <c r="C28" s="777">
        <v>2500</v>
      </c>
      <c r="D28" s="630" t="s">
        <v>965</v>
      </c>
      <c r="E28" s="629" t="s">
        <v>966</v>
      </c>
      <c r="F28" s="629" t="s">
        <v>967</v>
      </c>
      <c r="G28" s="629" t="s">
        <v>968</v>
      </c>
      <c r="H28" s="629" t="s">
        <v>969</v>
      </c>
      <c r="I28" s="629" t="s">
        <v>966</v>
      </c>
      <c r="J28" s="776">
        <v>39370</v>
      </c>
      <c r="K28" s="776">
        <v>39444</v>
      </c>
      <c r="L28" s="629" t="s">
        <v>970</v>
      </c>
      <c r="M28" s="629">
        <v>1147</v>
      </c>
      <c r="N28" s="629">
        <v>5161.5</v>
      </c>
      <c r="O28" s="629">
        <v>7373.5714285714284</v>
      </c>
      <c r="P28" s="629">
        <v>14747.142857142859</v>
      </c>
      <c r="Q28" s="629">
        <v>0</v>
      </c>
      <c r="R28" s="629">
        <v>0</v>
      </c>
      <c r="S28" s="629">
        <v>0</v>
      </c>
      <c r="T28" s="629">
        <v>0</v>
      </c>
      <c r="U28" s="629">
        <v>0</v>
      </c>
      <c r="V28" s="629">
        <v>0</v>
      </c>
      <c r="W28" s="629"/>
      <c r="X28" s="629">
        <v>10</v>
      </c>
      <c r="Y28" s="629" t="s">
        <v>111</v>
      </c>
      <c r="Z28" s="631" t="s">
        <v>111</v>
      </c>
    </row>
    <row r="29" spans="1:26" s="583" customFormat="1" ht="25.5">
      <c r="A29" s="582"/>
      <c r="B29" s="777">
        <v>12021</v>
      </c>
      <c r="C29" s="777">
        <v>2500</v>
      </c>
      <c r="D29" s="630" t="s">
        <v>971</v>
      </c>
      <c r="E29" s="629" t="s">
        <v>972</v>
      </c>
      <c r="F29" s="629" t="s">
        <v>973</v>
      </c>
      <c r="G29" s="629" t="s">
        <v>968</v>
      </c>
      <c r="H29" s="629" t="s">
        <v>969</v>
      </c>
      <c r="I29" s="629" t="s">
        <v>972</v>
      </c>
      <c r="J29" s="776">
        <v>39386</v>
      </c>
      <c r="K29" s="776">
        <v>39218</v>
      </c>
      <c r="L29" s="629" t="s">
        <v>970</v>
      </c>
      <c r="M29" s="629">
        <v>3116</v>
      </c>
      <c r="N29" s="629">
        <v>14022</v>
      </c>
      <c r="O29" s="629">
        <v>20031.428571428572</v>
      </c>
      <c r="P29" s="629">
        <v>40062.857142857145</v>
      </c>
      <c r="Q29" s="629">
        <v>0</v>
      </c>
      <c r="R29" s="629">
        <v>0</v>
      </c>
      <c r="S29" s="629">
        <v>0</v>
      </c>
      <c r="T29" s="629">
        <v>0</v>
      </c>
      <c r="U29" s="629">
        <v>0</v>
      </c>
      <c r="V29" s="629">
        <v>0</v>
      </c>
      <c r="W29" s="629"/>
      <c r="X29" s="629">
        <v>10</v>
      </c>
      <c r="Y29" s="629" t="s">
        <v>111</v>
      </c>
      <c r="Z29" s="631" t="s">
        <v>111</v>
      </c>
    </row>
    <row r="30" spans="1:26" s="583" customFormat="1" ht="25.5">
      <c r="A30" s="582"/>
      <c r="B30" s="777">
        <v>12021</v>
      </c>
      <c r="C30" s="777">
        <v>2500</v>
      </c>
      <c r="D30" s="630" t="s">
        <v>974</v>
      </c>
      <c r="E30" s="629" t="s">
        <v>975</v>
      </c>
      <c r="F30" s="629" t="s">
        <v>976</v>
      </c>
      <c r="G30" s="629" t="s">
        <v>968</v>
      </c>
      <c r="H30" s="629" t="s">
        <v>969</v>
      </c>
      <c r="I30" s="629" t="s">
        <v>977</v>
      </c>
      <c r="J30" s="776">
        <v>39721</v>
      </c>
      <c r="K30" s="776">
        <v>39721</v>
      </c>
      <c r="L30" s="629" t="s">
        <v>970</v>
      </c>
      <c r="M30" s="629">
        <v>1790</v>
      </c>
      <c r="N30" s="629">
        <v>8055</v>
      </c>
      <c r="O30" s="629">
        <v>11507.142857142857</v>
      </c>
      <c r="P30" s="629">
        <v>0</v>
      </c>
      <c r="Q30" s="629">
        <v>0</v>
      </c>
      <c r="R30" s="629">
        <v>0</v>
      </c>
      <c r="S30" s="629">
        <v>0</v>
      </c>
      <c r="T30" s="629">
        <v>23014.285714285717</v>
      </c>
      <c r="U30" s="629">
        <v>0</v>
      </c>
      <c r="V30" s="629">
        <v>0</v>
      </c>
      <c r="W30" s="629"/>
      <c r="X30" s="629">
        <v>10</v>
      </c>
      <c r="Y30" s="629" t="s">
        <v>111</v>
      </c>
      <c r="Z30" s="631" t="s">
        <v>111</v>
      </c>
    </row>
    <row r="31" spans="1:26" s="583" customFormat="1" ht="25.5">
      <c r="A31" s="582"/>
      <c r="B31" s="777">
        <v>12021</v>
      </c>
      <c r="C31" s="777">
        <v>2500</v>
      </c>
      <c r="D31" s="630" t="s">
        <v>978</v>
      </c>
      <c r="E31" s="629" t="s">
        <v>979</v>
      </c>
      <c r="F31" s="629" t="s">
        <v>980</v>
      </c>
      <c r="G31" s="629" t="s">
        <v>968</v>
      </c>
      <c r="H31" s="629" t="s">
        <v>969</v>
      </c>
      <c r="I31" s="629" t="s">
        <v>981</v>
      </c>
      <c r="J31" s="776">
        <v>39998</v>
      </c>
      <c r="K31" s="776">
        <v>40028</v>
      </c>
      <c r="L31" s="629" t="s">
        <v>970</v>
      </c>
      <c r="M31" s="629">
        <v>1562</v>
      </c>
      <c r="N31" s="629">
        <v>7029</v>
      </c>
      <c r="O31" s="629">
        <v>10041.428571428572</v>
      </c>
      <c r="P31" s="629">
        <v>20082.857142857145</v>
      </c>
      <c r="Q31" s="629">
        <v>0</v>
      </c>
      <c r="R31" s="629">
        <v>0</v>
      </c>
      <c r="S31" s="629">
        <v>0</v>
      </c>
      <c r="T31" s="629">
        <v>0</v>
      </c>
      <c r="U31" s="629">
        <v>0</v>
      </c>
      <c r="V31" s="629">
        <v>0</v>
      </c>
      <c r="W31" s="629"/>
      <c r="X31" s="629">
        <v>10</v>
      </c>
      <c r="Y31" s="629" t="s">
        <v>111</v>
      </c>
      <c r="Z31" s="631" t="s">
        <v>111</v>
      </c>
    </row>
    <row r="32" spans="1:26" s="583" customFormat="1" ht="38.25">
      <c r="A32" s="582"/>
      <c r="B32" s="777">
        <v>12021</v>
      </c>
      <c r="C32" s="777">
        <v>2500</v>
      </c>
      <c r="D32" s="630" t="s">
        <v>982</v>
      </c>
      <c r="E32" s="629" t="s">
        <v>983</v>
      </c>
      <c r="F32" s="629" t="s">
        <v>984</v>
      </c>
      <c r="G32" s="629" t="s">
        <v>968</v>
      </c>
      <c r="H32" s="629" t="s">
        <v>969</v>
      </c>
      <c r="I32" s="629" t="s">
        <v>985</v>
      </c>
      <c r="J32" s="776">
        <v>40016</v>
      </c>
      <c r="K32" s="776">
        <v>40023</v>
      </c>
      <c r="L32" s="629" t="s">
        <v>970</v>
      </c>
      <c r="M32" s="629">
        <v>1008</v>
      </c>
      <c r="N32" s="629">
        <v>4536</v>
      </c>
      <c r="O32" s="629">
        <v>6480</v>
      </c>
      <c r="P32" s="629">
        <v>12960</v>
      </c>
      <c r="Q32" s="629">
        <v>0</v>
      </c>
      <c r="R32" s="629">
        <v>0</v>
      </c>
      <c r="S32" s="629">
        <v>0</v>
      </c>
      <c r="T32" s="629">
        <v>0</v>
      </c>
      <c r="U32" s="629">
        <v>0</v>
      </c>
      <c r="V32" s="629">
        <v>0</v>
      </c>
      <c r="W32" s="629"/>
      <c r="X32" s="629">
        <v>10</v>
      </c>
      <c r="Y32" s="629" t="s">
        <v>111</v>
      </c>
      <c r="Z32" s="631" t="s">
        <v>111</v>
      </c>
    </row>
    <row r="33" spans="1:27" s="583" customFormat="1" ht="25.5">
      <c r="A33" s="582"/>
      <c r="B33" s="777">
        <v>12021</v>
      </c>
      <c r="C33" s="777">
        <v>2500</v>
      </c>
      <c r="D33" s="630" t="s">
        <v>986</v>
      </c>
      <c r="E33" s="629" t="s">
        <v>987</v>
      </c>
      <c r="F33" s="629" t="s">
        <v>988</v>
      </c>
      <c r="G33" s="629" t="s">
        <v>968</v>
      </c>
      <c r="H33" s="629" t="s">
        <v>969</v>
      </c>
      <c r="I33" s="629" t="s">
        <v>987</v>
      </c>
      <c r="J33" s="776">
        <v>40043</v>
      </c>
      <c r="K33" s="776">
        <v>40043</v>
      </c>
      <c r="L33" s="629" t="s">
        <v>970</v>
      </c>
      <c r="M33" s="629">
        <v>2425</v>
      </c>
      <c r="N33" s="629">
        <v>10912.5</v>
      </c>
      <c r="O33" s="629">
        <v>15589.285714285714</v>
      </c>
      <c r="P33" s="629">
        <v>31178.571428571431</v>
      </c>
      <c r="Q33" s="629">
        <v>0</v>
      </c>
      <c r="R33" s="629">
        <v>0</v>
      </c>
      <c r="S33" s="629">
        <v>0</v>
      </c>
      <c r="T33" s="629">
        <v>0</v>
      </c>
      <c r="U33" s="629">
        <v>0</v>
      </c>
      <c r="V33" s="629">
        <v>0</v>
      </c>
      <c r="W33" s="629"/>
      <c r="X33" s="629">
        <v>10</v>
      </c>
      <c r="Y33" s="629" t="s">
        <v>111</v>
      </c>
      <c r="Z33" s="631" t="s">
        <v>111</v>
      </c>
    </row>
    <row r="34" spans="1:27" s="583" customFormat="1" ht="25.5">
      <c r="A34" s="582"/>
      <c r="B34" s="777">
        <v>12021</v>
      </c>
      <c r="C34" s="777">
        <v>2500</v>
      </c>
      <c r="D34" s="630" t="s">
        <v>989</v>
      </c>
      <c r="E34" s="629" t="s">
        <v>990</v>
      </c>
      <c r="F34" s="629" t="s">
        <v>991</v>
      </c>
      <c r="G34" s="629" t="s">
        <v>968</v>
      </c>
      <c r="H34" s="629" t="s">
        <v>969</v>
      </c>
      <c r="I34" s="629" t="s">
        <v>990</v>
      </c>
      <c r="J34" s="776">
        <v>40619</v>
      </c>
      <c r="K34" s="776">
        <v>40619</v>
      </c>
      <c r="L34" s="629" t="s">
        <v>970</v>
      </c>
      <c r="M34" s="629">
        <v>1184</v>
      </c>
      <c r="N34" s="629">
        <v>5328</v>
      </c>
      <c r="O34" s="629">
        <v>7611.4285714285716</v>
      </c>
      <c r="P34" s="629">
        <v>15222.857142857143</v>
      </c>
      <c r="Q34" s="629">
        <v>0</v>
      </c>
      <c r="R34" s="629">
        <v>0</v>
      </c>
      <c r="S34" s="629">
        <v>0</v>
      </c>
      <c r="T34" s="629">
        <v>0</v>
      </c>
      <c r="U34" s="629">
        <v>0</v>
      </c>
      <c r="V34" s="629">
        <v>0</v>
      </c>
      <c r="W34" s="629"/>
      <c r="X34" s="629">
        <v>10</v>
      </c>
      <c r="Y34" s="629" t="s">
        <v>111</v>
      </c>
      <c r="Z34" s="631" t="s">
        <v>111</v>
      </c>
    </row>
    <row r="35" spans="1:27" s="583" customFormat="1" ht="38.25">
      <c r="A35" s="582"/>
      <c r="B35" s="777">
        <v>12021</v>
      </c>
      <c r="C35" s="777">
        <v>2500</v>
      </c>
      <c r="D35" s="630" t="s">
        <v>992</v>
      </c>
      <c r="E35" s="629" t="s">
        <v>993</v>
      </c>
      <c r="F35" s="629" t="s">
        <v>994</v>
      </c>
      <c r="G35" s="629" t="s">
        <v>968</v>
      </c>
      <c r="H35" s="629" t="s">
        <v>995</v>
      </c>
      <c r="I35" s="629" t="s">
        <v>993</v>
      </c>
      <c r="J35" s="776">
        <v>40823</v>
      </c>
      <c r="K35" s="776">
        <v>39630</v>
      </c>
      <c r="L35" s="629" t="s">
        <v>970</v>
      </c>
      <c r="M35" s="629">
        <v>2664</v>
      </c>
      <c r="N35" s="629">
        <v>11988</v>
      </c>
      <c r="O35" s="629">
        <v>13486.5</v>
      </c>
      <c r="P35" s="629">
        <v>0</v>
      </c>
      <c r="Q35" s="629">
        <v>0</v>
      </c>
      <c r="R35" s="629">
        <v>0</v>
      </c>
      <c r="S35" s="629">
        <v>7492.5</v>
      </c>
      <c r="T35" s="629">
        <v>0</v>
      </c>
      <c r="U35" s="629">
        <v>22477.5</v>
      </c>
      <c r="V35" s="629">
        <v>0</v>
      </c>
      <c r="W35" s="629"/>
      <c r="X35" s="629">
        <v>10</v>
      </c>
      <c r="Y35" s="629" t="s">
        <v>111</v>
      </c>
      <c r="Z35" s="631" t="s">
        <v>111</v>
      </c>
    </row>
    <row r="36" spans="1:27" s="565" customFormat="1">
      <c r="A36" s="585" t="s">
        <v>275</v>
      </c>
      <c r="B36" s="586"/>
      <c r="C36" s="586"/>
      <c r="D36" s="586"/>
      <c r="E36" s="586"/>
      <c r="F36" s="586"/>
      <c r="G36" s="586"/>
      <c r="H36" s="586"/>
      <c r="I36" s="586"/>
      <c r="J36" s="586"/>
      <c r="K36" s="586"/>
      <c r="L36" s="587"/>
      <c r="M36" s="587">
        <f>SUM(M28:M35)</f>
        <v>14896</v>
      </c>
      <c r="N36" s="587">
        <f>SUM(N28:N35)</f>
        <v>67032</v>
      </c>
      <c r="O36" s="587">
        <f>SUM(O28:O35)</f>
        <v>92120.78571428571</v>
      </c>
      <c r="P36" s="587">
        <f>SUM(P28:P35)</f>
        <v>134254.28571428571</v>
      </c>
      <c r="Q36" s="587">
        <f>SUM(Q28:Q35)</f>
        <v>0</v>
      </c>
      <c r="R36" s="587">
        <f>SUM(R28:R35)</f>
        <v>0</v>
      </c>
      <c r="S36" s="587">
        <f>SUM(S28:S35)</f>
        <v>7492.5</v>
      </c>
      <c r="T36" s="587">
        <f>SUM(T28:T35)</f>
        <v>23014.285714285717</v>
      </c>
      <c r="U36" s="587">
        <f>SUM(U28:U35)</f>
        <v>22477.5</v>
      </c>
      <c r="V36" s="587">
        <f>SUM(V28:V35)</f>
        <v>0</v>
      </c>
      <c r="W36" s="587">
        <f>SUM(W28:W35)</f>
        <v>0</v>
      </c>
      <c r="X36" s="588"/>
      <c r="Y36" s="588"/>
      <c r="Z36" s="589"/>
    </row>
    <row r="37" spans="1:27" s="565" customFormat="1">
      <c r="A37" s="585" t="s">
        <v>282</v>
      </c>
      <c r="B37" s="586"/>
      <c r="C37" s="586"/>
      <c r="D37" s="586"/>
      <c r="E37" s="586"/>
      <c r="F37" s="586"/>
      <c r="G37" s="586"/>
      <c r="H37" s="586"/>
      <c r="I37" s="586"/>
      <c r="J37" s="586"/>
      <c r="K37" s="586"/>
      <c r="L37" s="587"/>
      <c r="M37" s="587">
        <f>SUMIF($Z$28:$Z$35,"industrie",M28:M35)</f>
        <v>0</v>
      </c>
      <c r="N37" s="587">
        <f>SUMIF($Z$28:$Z$35,"industrie",N28:N35)</f>
        <v>0</v>
      </c>
      <c r="O37" s="587">
        <f>SUMIF($Z$28:$Z$35,"industrie",O28:O35)</f>
        <v>0</v>
      </c>
      <c r="P37" s="587">
        <f>SUMIF($Z$28:$Z$35,"industrie",P28:P35)</f>
        <v>0</v>
      </c>
      <c r="Q37" s="587">
        <f>SUMIF($Z$28:$Z$35,"industrie",Q28:Q35)</f>
        <v>0</v>
      </c>
      <c r="R37" s="587">
        <f>SUMIF($Z$28:$Z$35,"industrie",R28:R35)</f>
        <v>0</v>
      </c>
      <c r="S37" s="587">
        <f>SUMIF($Z$28:$Z$35,"industrie",S28:S35)</f>
        <v>0</v>
      </c>
      <c r="T37" s="587">
        <f>SUMIF($Z$28:$Z$35,"industrie",T28:T35)</f>
        <v>0</v>
      </c>
      <c r="U37" s="587">
        <f>SUMIF($Z$28:$Z$35,"industrie",U28:U35)</f>
        <v>0</v>
      </c>
      <c r="V37" s="587">
        <f>SUMIF($Z$28:$Z$35,"industrie",V28:V35)</f>
        <v>0</v>
      </c>
      <c r="W37" s="587">
        <f>SUMIF($Z$28:$Z$35,"industrie",W28:W35)</f>
        <v>0</v>
      </c>
      <c r="X37" s="588"/>
      <c r="Y37" s="588"/>
      <c r="Z37" s="589"/>
    </row>
    <row r="38" spans="1:27" s="565" customFormat="1">
      <c r="A38" s="585" t="s">
        <v>283</v>
      </c>
      <c r="B38" s="586"/>
      <c r="C38" s="586"/>
      <c r="D38" s="586"/>
      <c r="E38" s="586"/>
      <c r="F38" s="586"/>
      <c r="G38" s="586"/>
      <c r="H38" s="586"/>
      <c r="I38" s="586"/>
      <c r="J38" s="586"/>
      <c r="K38" s="586"/>
      <c r="L38" s="587"/>
      <c r="M38" s="587">
        <f ca="1">SUMIF($Z$28:AC35,"tertiair",M28:M35)</f>
        <v>0</v>
      </c>
      <c r="N38" s="587">
        <f ca="1">SUMIF($Z$28:AD35,"tertiair",N28:N35)</f>
        <v>0</v>
      </c>
      <c r="O38" s="587">
        <f ca="1">SUMIF($Z$28:AE35,"tertiair",O28:O35)</f>
        <v>0</v>
      </c>
      <c r="P38" s="587">
        <f ca="1">SUMIF($Z$28:AF35,"tertiair",P28:P35)</f>
        <v>0</v>
      </c>
      <c r="Q38" s="587">
        <f ca="1">SUMIF($Z$28:AG35,"tertiair",Q28:Q35)</f>
        <v>0</v>
      </c>
      <c r="R38" s="587">
        <f ca="1">SUMIF($Z$28:AH35,"tertiair",R28:R35)</f>
        <v>0</v>
      </c>
      <c r="S38" s="587">
        <f ca="1">SUMIF($Z$28:AI35,"tertiair",S28:S35)</f>
        <v>0</v>
      </c>
      <c r="T38" s="587">
        <f ca="1">SUMIF($Z$28:AJ35,"tertiair",T28:T35)</f>
        <v>0</v>
      </c>
      <c r="U38" s="587">
        <f ca="1">SUMIF($Z$28:AK35,"tertiair",U28:U35)</f>
        <v>0</v>
      </c>
      <c r="V38" s="587">
        <f ca="1">SUMIF($Z$28:AL35,"tertiair",V28:V35)</f>
        <v>0</v>
      </c>
      <c r="W38" s="587">
        <f ca="1">SUMIF($Z$28:AM35,"tertiair",W28:W35)</f>
        <v>0</v>
      </c>
      <c r="X38" s="588"/>
      <c r="Y38" s="588"/>
      <c r="Z38" s="589"/>
    </row>
    <row r="39" spans="1:27" s="565" customFormat="1" ht="15.75" thickBot="1">
      <c r="A39" s="590" t="s">
        <v>284</v>
      </c>
      <c r="B39" s="591"/>
      <c r="C39" s="591"/>
      <c r="D39" s="591"/>
      <c r="E39" s="591"/>
      <c r="F39" s="591"/>
      <c r="G39" s="591"/>
      <c r="H39" s="591"/>
      <c r="I39" s="591"/>
      <c r="J39" s="591"/>
      <c r="K39" s="591"/>
      <c r="L39" s="592"/>
      <c r="M39" s="592">
        <f>SUMIF($Z$28:$Z$35,"landbouw",M28:M35)</f>
        <v>14896</v>
      </c>
      <c r="N39" s="592">
        <f>SUMIF($Z$28:$Z$35,"landbouw",N28:N35)</f>
        <v>67032</v>
      </c>
      <c r="O39" s="592">
        <f>SUMIF($Z$28:$Z$35,"landbouw",O28:O35)</f>
        <v>92120.78571428571</v>
      </c>
      <c r="P39" s="592">
        <f>SUMIF($Z$28:$Z$35,"landbouw",P28:P35)</f>
        <v>134254.28571428571</v>
      </c>
      <c r="Q39" s="592">
        <f>SUMIF($Z$28:$Z$35,"landbouw",Q28:Q35)</f>
        <v>0</v>
      </c>
      <c r="R39" s="592">
        <f>SUMIF($Z$28:$Z$35,"landbouw",R28:R35)</f>
        <v>0</v>
      </c>
      <c r="S39" s="592">
        <f>SUMIF($Z$28:$Z$35,"landbouw",S28:S35)</f>
        <v>7492.5</v>
      </c>
      <c r="T39" s="592">
        <f>SUMIF($Z$28:$Z$35,"landbouw",T28:T35)</f>
        <v>23014.285714285717</v>
      </c>
      <c r="U39" s="592">
        <f>SUMIF($Z$28:$Z$35,"landbouw",U28:U35)</f>
        <v>22477.5</v>
      </c>
      <c r="V39" s="592">
        <f>SUMIF($Z$28:$Z$35,"landbouw",V28:V35)</f>
        <v>0</v>
      </c>
      <c r="W39" s="592">
        <f>SUMIF($Z$28:$Z$35,"landbouw",W28:W35)</f>
        <v>0</v>
      </c>
      <c r="X39" s="593"/>
      <c r="Y39" s="593"/>
      <c r="Z39" s="594"/>
    </row>
    <row r="40" spans="1:27" s="534" customFormat="1" ht="15.75" thickBot="1">
      <c r="A40" s="595"/>
      <c r="B40" s="596"/>
      <c r="C40" s="596"/>
      <c r="D40" s="596"/>
      <c r="E40" s="596"/>
      <c r="F40" s="596"/>
      <c r="G40" s="596"/>
      <c r="H40" s="596"/>
      <c r="I40" s="596"/>
      <c r="J40" s="596"/>
      <c r="K40" s="596"/>
      <c r="L40" s="579"/>
      <c r="M40" s="579"/>
      <c r="N40" s="579"/>
      <c r="O40" s="580"/>
      <c r="P40" s="580"/>
    </row>
    <row r="41" spans="1:27" s="534" customFormat="1" ht="45">
      <c r="A41" s="597" t="s">
        <v>276</v>
      </c>
      <c r="B41" s="626" t="s">
        <v>89</v>
      </c>
      <c r="C41" s="626" t="s">
        <v>90</v>
      </c>
      <c r="D41" s="626" t="s">
        <v>91</v>
      </c>
      <c r="E41" s="626" t="s">
        <v>92</v>
      </c>
      <c r="F41" s="626" t="s">
        <v>93</v>
      </c>
      <c r="G41" s="626" t="s">
        <v>94</v>
      </c>
      <c r="H41" s="626" t="s">
        <v>95</v>
      </c>
      <c r="I41" s="626" t="s">
        <v>96</v>
      </c>
      <c r="J41" s="626" t="s">
        <v>97</v>
      </c>
      <c r="K41" s="626" t="s">
        <v>98</v>
      </c>
      <c r="L41" s="626" t="s">
        <v>99</v>
      </c>
      <c r="M41" s="627" t="s">
        <v>293</v>
      </c>
      <c r="N41" s="627" t="s">
        <v>100</v>
      </c>
      <c r="O41" s="627" t="s">
        <v>101</v>
      </c>
      <c r="P41" s="627" t="s">
        <v>541</v>
      </c>
      <c r="Q41" s="627" t="s">
        <v>102</v>
      </c>
      <c r="R41" s="627" t="s">
        <v>103</v>
      </c>
      <c r="S41" s="627" t="s">
        <v>104</v>
      </c>
      <c r="T41" s="627" t="s">
        <v>105</v>
      </c>
      <c r="U41" s="627" t="s">
        <v>106</v>
      </c>
      <c r="V41" s="627" t="s">
        <v>107</v>
      </c>
      <c r="W41" s="626" t="s">
        <v>108</v>
      </c>
      <c r="X41" s="626" t="s">
        <v>294</v>
      </c>
      <c r="Y41" s="626" t="s">
        <v>109</v>
      </c>
      <c r="Z41" s="628" t="s">
        <v>295</v>
      </c>
    </row>
    <row r="42" spans="1:27" s="598" customFormat="1" ht="38.25">
      <c r="A42" s="584"/>
      <c r="B42" s="777">
        <v>12021</v>
      </c>
      <c r="C42" s="777">
        <v>2500</v>
      </c>
      <c r="D42" s="632" t="s">
        <v>996</v>
      </c>
      <c r="E42" s="632" t="s">
        <v>997</v>
      </c>
      <c r="F42" s="632" t="s">
        <v>998</v>
      </c>
      <c r="G42" s="632" t="s">
        <v>999</v>
      </c>
      <c r="H42" s="632" t="s">
        <v>1000</v>
      </c>
      <c r="I42" s="632" t="s">
        <v>977</v>
      </c>
      <c r="J42" s="776">
        <v>39721</v>
      </c>
      <c r="K42" s="776">
        <v>39721</v>
      </c>
      <c r="L42" s="632" t="s">
        <v>1001</v>
      </c>
      <c r="M42" s="632">
        <v>1790</v>
      </c>
      <c r="N42" s="632">
        <v>8055</v>
      </c>
      <c r="O42" s="632">
        <v>0</v>
      </c>
      <c r="P42" s="632">
        <v>0</v>
      </c>
      <c r="Q42" s="632">
        <v>0</v>
      </c>
      <c r="R42" s="632">
        <v>0</v>
      </c>
      <c r="S42" s="632">
        <v>0</v>
      </c>
      <c r="T42" s="632">
        <v>20137.5</v>
      </c>
      <c r="U42" s="632">
        <v>0</v>
      </c>
      <c r="V42" s="632">
        <v>0</v>
      </c>
      <c r="W42" s="632"/>
      <c r="X42" s="632">
        <v>10</v>
      </c>
      <c r="Y42" s="632" t="s">
        <v>111</v>
      </c>
      <c r="Z42" s="633" t="s">
        <v>111</v>
      </c>
    </row>
    <row r="43" spans="1:27" s="565" customFormat="1">
      <c r="A43" s="585" t="s">
        <v>275</v>
      </c>
      <c r="B43" s="586"/>
      <c r="C43" s="586"/>
      <c r="D43" s="586"/>
      <c r="E43" s="586"/>
      <c r="F43" s="586"/>
      <c r="G43" s="586"/>
      <c r="H43" s="586"/>
      <c r="I43" s="586"/>
      <c r="J43" s="586"/>
      <c r="K43" s="586"/>
      <c r="L43" s="587"/>
      <c r="M43" s="587">
        <f>SUM(M42:M42)</f>
        <v>1790</v>
      </c>
      <c r="N43" s="587">
        <f>SUM(N42:N42)</f>
        <v>8055</v>
      </c>
      <c r="O43" s="587">
        <f>SUM(O42:O42)</f>
        <v>0</v>
      </c>
      <c r="P43" s="587">
        <f>SUM(P42:P42)</f>
        <v>0</v>
      </c>
      <c r="Q43" s="587">
        <f>SUM(Q42:Q42)</f>
        <v>0</v>
      </c>
      <c r="R43" s="587">
        <f>SUM(R42:R42)</f>
        <v>0</v>
      </c>
      <c r="S43" s="587">
        <f>SUM(S42:S42)</f>
        <v>0</v>
      </c>
      <c r="T43" s="587">
        <f>SUM(T42:T42)</f>
        <v>20137.5</v>
      </c>
      <c r="U43" s="587">
        <f>SUM(U42:U42)</f>
        <v>0</v>
      </c>
      <c r="V43" s="587">
        <f>SUM(V42:V42)</f>
        <v>0</v>
      </c>
      <c r="W43" s="587">
        <f>SUM(W42:W42)</f>
        <v>0</v>
      </c>
      <c r="X43" s="588"/>
      <c r="Y43" s="588"/>
      <c r="Z43" s="589"/>
    </row>
    <row r="44" spans="1:27" s="565" customFormat="1">
      <c r="A44" s="585" t="s">
        <v>282</v>
      </c>
      <c r="B44" s="586"/>
      <c r="C44" s="586"/>
      <c r="D44" s="586"/>
      <c r="E44" s="586"/>
      <c r="F44" s="586"/>
      <c r="G44" s="586"/>
      <c r="H44" s="586"/>
      <c r="I44" s="586"/>
      <c r="J44" s="586"/>
      <c r="K44" s="586"/>
      <c r="L44" s="587"/>
      <c r="M44" s="587">
        <f>SUMIF($Z$42:$Z$42,"industrie",M42:M42)</f>
        <v>0</v>
      </c>
      <c r="N44" s="587">
        <f>SUMIF($Z$42:$Z$42,"industrie",N42:N42)</f>
        <v>0</v>
      </c>
      <c r="O44" s="587">
        <f>SUMIF($Z$42:$Z$42,"industrie",O42:O42)</f>
        <v>0</v>
      </c>
      <c r="P44" s="587">
        <f>SUMIF($Z$42:$Z$42,"industrie",P42:P42)</f>
        <v>0</v>
      </c>
      <c r="Q44" s="587">
        <f>SUMIF($Z$42:$Z$42,"industrie",Q42:Q42)</f>
        <v>0</v>
      </c>
      <c r="R44" s="587">
        <f>SUMIF($Z$42:$Z$42,"industrie",R42:R42)</f>
        <v>0</v>
      </c>
      <c r="S44" s="587">
        <f>SUMIF($Z$42:$Z$42,"industrie",S42:S42)</f>
        <v>0</v>
      </c>
      <c r="T44" s="587">
        <f>SUMIF($Z$42:$Z$42,"industrie",T42:T42)</f>
        <v>0</v>
      </c>
      <c r="U44" s="587">
        <f>SUMIF($Z$42:$Z$42,"industrie",U42:U42)</f>
        <v>0</v>
      </c>
      <c r="V44" s="587">
        <f>SUMIF($Z$42:$Z$42,"industrie",V42:V42)</f>
        <v>0</v>
      </c>
      <c r="W44" s="587">
        <f>SUMIF($Z$42:$Z$42,"industrie",W42:W42)</f>
        <v>0</v>
      </c>
      <c r="X44" s="588"/>
      <c r="Y44" s="588"/>
      <c r="Z44" s="589"/>
    </row>
    <row r="45" spans="1:27" s="565" customFormat="1">
      <c r="A45" s="585" t="s">
        <v>283</v>
      </c>
      <c r="B45" s="586"/>
      <c r="C45" s="586"/>
      <c r="D45" s="586"/>
      <c r="E45" s="586"/>
      <c r="F45" s="586"/>
      <c r="G45" s="586"/>
      <c r="H45" s="586"/>
      <c r="I45" s="586"/>
      <c r="J45" s="586"/>
      <c r="K45" s="586"/>
      <c r="L45" s="587"/>
      <c r="M45" s="587">
        <f>SUMIF($Z$42:$Z$43,"tertiair",M42:M43)</f>
        <v>0</v>
      </c>
      <c r="N45" s="587">
        <f>SUMIF($Z$42:$Z$43,"tertiair",N42:N43)</f>
        <v>0</v>
      </c>
      <c r="O45" s="587">
        <f>SUMIF($Z$42:$Z$43,"tertiair",O42:O43)</f>
        <v>0</v>
      </c>
      <c r="P45" s="587">
        <f>SUMIF($Z$42:$Z$43,"tertiair",P42:P43)</f>
        <v>0</v>
      </c>
      <c r="Q45" s="587">
        <f>SUMIF($Z$42:$Z$43,"tertiair",Q42:Q43)</f>
        <v>0</v>
      </c>
      <c r="R45" s="587">
        <f>SUMIF($Z$42:$Z$43,"tertiair",R42:R43)</f>
        <v>0</v>
      </c>
      <c r="S45" s="587">
        <f>SUMIF($Z$42:$Z$43,"tertiair",S42:S43)</f>
        <v>0</v>
      </c>
      <c r="T45" s="587">
        <f>SUMIF($Z$42:$Z$43,"tertiair",T42:T43)</f>
        <v>0</v>
      </c>
      <c r="U45" s="587">
        <f>SUMIF($Z$42:$Z$43,"tertiair",U42:U43)</f>
        <v>0</v>
      </c>
      <c r="V45" s="587">
        <f>SUMIF($Z$42:$Z$43,"tertiair",V42:V43)</f>
        <v>0</v>
      </c>
      <c r="W45" s="587">
        <f>SUMIF($Z$42:$Z$43,"tertiair",W42:W43)</f>
        <v>0</v>
      </c>
      <c r="X45" s="588"/>
      <c r="Y45" s="588"/>
      <c r="Z45" s="589"/>
    </row>
    <row r="46" spans="1:27" s="565" customFormat="1" ht="15.75" thickBot="1">
      <c r="A46" s="590" t="s">
        <v>284</v>
      </c>
      <c r="B46" s="591"/>
      <c r="C46" s="591"/>
      <c r="D46" s="591"/>
      <c r="E46" s="591"/>
      <c r="F46" s="591"/>
      <c r="G46" s="591"/>
      <c r="H46" s="591"/>
      <c r="I46" s="591"/>
      <c r="J46" s="591"/>
      <c r="K46" s="591"/>
      <c r="L46" s="592"/>
      <c r="M46" s="592">
        <f>SUMIF($Z$42:$Z$44,"landbouw",M42:M44)</f>
        <v>1790</v>
      </c>
      <c r="N46" s="592">
        <f>SUMIF($Z$42:$Z$44,"landbouw",N42:N44)</f>
        <v>8055</v>
      </c>
      <c r="O46" s="592">
        <f>SUMIF($Z$42:$Z$44,"landbouw",O42:O44)</f>
        <v>0</v>
      </c>
      <c r="P46" s="592">
        <f>SUMIF($Z$42:$Z$44,"landbouw",P42:P44)</f>
        <v>0</v>
      </c>
      <c r="Q46" s="592">
        <f>SUMIF($Z$42:$Z$44,"landbouw",Q42:Q44)</f>
        <v>0</v>
      </c>
      <c r="R46" s="592">
        <f>SUMIF($Z$42:$Z$44,"landbouw",R42:R44)</f>
        <v>0</v>
      </c>
      <c r="S46" s="592">
        <f>SUMIF($Z$42:$Z$44,"landbouw",S42:S44)</f>
        <v>0</v>
      </c>
      <c r="T46" s="592">
        <f>SUMIF($Z$42:$Z$44,"landbouw",T42:T44)</f>
        <v>20137.5</v>
      </c>
      <c r="U46" s="592">
        <f>SUMIF($Z$42:$Z$44,"landbouw",U42:U44)</f>
        <v>0</v>
      </c>
      <c r="V46" s="592">
        <f>SUMIF($Z$42:$Z$44,"landbouw",V42:V44)</f>
        <v>0</v>
      </c>
      <c r="W46" s="592">
        <f>SUMIF($Z$42:$Z$44,"landbouw",W42:W44)</f>
        <v>0</v>
      </c>
      <c r="X46" s="593"/>
      <c r="Y46" s="593"/>
      <c r="Z46" s="594"/>
    </row>
    <row r="47" spans="1:27" s="599" customFormat="1">
      <c r="A47" s="595"/>
      <c r="B47" s="579"/>
      <c r="C47" s="579"/>
      <c r="D47" s="579"/>
      <c r="E47" s="579"/>
      <c r="F47" s="579"/>
      <c r="G47" s="579"/>
      <c r="H47" s="579"/>
      <c r="I47" s="579"/>
      <c r="J47" s="579"/>
      <c r="K47" s="579"/>
      <c r="L47" s="579"/>
      <c r="M47" s="579"/>
      <c r="N47" s="579"/>
      <c r="O47" s="579"/>
      <c r="P47" s="579"/>
      <c r="Q47" s="579"/>
      <c r="R47" s="579"/>
      <c r="S47" s="579"/>
      <c r="T47" s="579"/>
      <c r="U47" s="579"/>
      <c r="V47" s="579"/>
      <c r="W47" s="579"/>
      <c r="X47" s="579"/>
      <c r="Y47" s="579"/>
    </row>
    <row r="48" spans="1:27" s="599" customFormat="1" ht="15.75" thickBot="1">
      <c r="A48" s="595"/>
      <c r="B48" s="579"/>
      <c r="C48" s="579"/>
      <c r="D48" s="579"/>
      <c r="E48" s="579"/>
      <c r="F48" s="579"/>
      <c r="G48" s="579"/>
      <c r="H48" s="579"/>
      <c r="I48" s="579"/>
      <c r="J48" s="579"/>
      <c r="K48" s="579"/>
      <c r="L48" s="579"/>
      <c r="M48" s="579"/>
      <c r="N48" s="579"/>
      <c r="O48" s="579"/>
      <c r="P48" s="579"/>
      <c r="Q48" s="579"/>
      <c r="R48" s="579"/>
      <c r="S48" s="579"/>
      <c r="T48" s="579"/>
      <c r="U48" s="579"/>
      <c r="V48" s="579"/>
      <c r="W48" s="579"/>
      <c r="X48" s="579"/>
      <c r="Y48" s="579"/>
      <c r="Z48" s="579"/>
      <c r="AA48" s="579"/>
    </row>
    <row r="49" spans="1:16">
      <c r="A49" s="600" t="s">
        <v>277</v>
      </c>
      <c r="B49" s="601"/>
      <c r="C49" s="601"/>
      <c r="D49" s="601"/>
      <c r="E49" s="601"/>
      <c r="F49" s="601"/>
      <c r="G49" s="601"/>
      <c r="H49" s="601"/>
      <c r="I49" s="602"/>
      <c r="J49" s="603"/>
      <c r="K49" s="603"/>
      <c r="L49" s="604"/>
      <c r="M49" s="604"/>
      <c r="N49" s="604"/>
      <c r="O49" s="604"/>
      <c r="P49" s="604"/>
    </row>
    <row r="50" spans="1:16">
      <c r="A50" s="606"/>
      <c r="B50" s="596"/>
      <c r="C50" s="596"/>
      <c r="D50" s="596"/>
      <c r="E50" s="596"/>
      <c r="F50" s="596"/>
      <c r="G50" s="596"/>
      <c r="H50" s="596"/>
      <c r="I50" s="607"/>
      <c r="J50" s="596"/>
      <c r="K50" s="596"/>
      <c r="L50" s="604"/>
      <c r="M50" s="604"/>
      <c r="N50" s="604"/>
      <c r="O50" s="604"/>
      <c r="P50" s="604"/>
    </row>
    <row r="51" spans="1:16">
      <c r="A51" s="608"/>
      <c r="B51" s="609" t="s">
        <v>278</v>
      </c>
      <c r="C51" s="609" t="s">
        <v>279</v>
      </c>
      <c r="D51" s="609"/>
      <c r="E51" s="609"/>
      <c r="F51" s="609"/>
      <c r="G51" s="609"/>
      <c r="H51" s="609"/>
      <c r="I51" s="610"/>
      <c r="J51" s="609"/>
      <c r="K51" s="609"/>
      <c r="L51" s="609"/>
      <c r="M51" s="609"/>
      <c r="N51" s="609"/>
      <c r="O51" s="609"/>
      <c r="P51" s="604"/>
    </row>
    <row r="52" spans="1:16">
      <c r="A52" s="606" t="s">
        <v>275</v>
      </c>
      <c r="B52" s="611">
        <f>IF(ISERROR(O36/(O36+N36)),0,O36/(O36+N36))</f>
        <v>0.5788198133060819</v>
      </c>
      <c r="C52" s="612">
        <f>IF(ISERROR(N36/(O36+N36)),0,N36/(N36+O36))</f>
        <v>0.4211801866939181</v>
      </c>
      <c r="D52" s="579"/>
      <c r="E52" s="579"/>
      <c r="F52" s="579"/>
      <c r="G52" s="579"/>
      <c r="H52" s="579"/>
      <c r="I52" s="613"/>
      <c r="J52" s="579"/>
      <c r="K52" s="579"/>
      <c r="L52" s="614"/>
      <c r="M52" s="614"/>
      <c r="N52" s="614"/>
      <c r="O52" s="614"/>
      <c r="P52" s="604"/>
    </row>
    <row r="53" spans="1:16">
      <c r="A53" s="606"/>
      <c r="B53" s="615"/>
      <c r="C53" s="615"/>
      <c r="D53" s="615"/>
      <c r="E53" s="615"/>
      <c r="F53" s="615"/>
      <c r="G53" s="615"/>
      <c r="H53" s="615"/>
      <c r="I53" s="616"/>
      <c r="J53" s="615"/>
      <c r="K53" s="615"/>
      <c r="L53" s="617"/>
      <c r="M53" s="617"/>
      <c r="N53" s="617"/>
      <c r="O53" s="617"/>
      <c r="P53" s="604"/>
    </row>
    <row r="54" spans="1:16" ht="30">
      <c r="A54" s="618"/>
      <c r="B54" s="619" t="s">
        <v>541</v>
      </c>
      <c r="C54" s="619" t="s">
        <v>102</v>
      </c>
      <c r="D54" s="619" t="s">
        <v>103</v>
      </c>
      <c r="E54" s="619" t="s">
        <v>104</v>
      </c>
      <c r="F54" s="619" t="s">
        <v>105</v>
      </c>
      <c r="G54" s="619" t="s">
        <v>106</v>
      </c>
      <c r="H54" s="619" t="s">
        <v>107</v>
      </c>
      <c r="I54" s="620" t="s">
        <v>108</v>
      </c>
      <c r="J54" s="609"/>
      <c r="K54" s="609"/>
      <c r="L54" s="617"/>
      <c r="M54" s="617"/>
      <c r="N54" s="617"/>
      <c r="O54" s="604"/>
      <c r="P54" s="604"/>
    </row>
    <row r="55" spans="1:16">
      <c r="A55" s="608" t="s">
        <v>280</v>
      </c>
      <c r="B55" s="621">
        <f t="shared" ref="B55:I55" si="2">$C$52*P36</f>
        <v>56545.245121601474</v>
      </c>
      <c r="C55" s="621">
        <f t="shared" si="2"/>
        <v>0</v>
      </c>
      <c r="D55" s="621">
        <f t="shared" si="2"/>
        <v>0</v>
      </c>
      <c r="E55" s="621">
        <f t="shared" si="2"/>
        <v>3155.6925488041816</v>
      </c>
      <c r="F55" s="621">
        <f t="shared" si="2"/>
        <v>9693.1611537700301</v>
      </c>
      <c r="G55" s="621">
        <f t="shared" si="2"/>
        <v>9467.0776464125447</v>
      </c>
      <c r="H55" s="621">
        <f t="shared" si="2"/>
        <v>0</v>
      </c>
      <c r="I55" s="622">
        <f t="shared" si="2"/>
        <v>0</v>
      </c>
      <c r="J55" s="579"/>
      <c r="K55" s="579"/>
      <c r="L55" s="617"/>
      <c r="M55" s="617"/>
      <c r="N55" s="617"/>
      <c r="O55" s="604"/>
      <c r="P55" s="604"/>
    </row>
    <row r="56" spans="1:16" ht="15.75" thickBot="1">
      <c r="A56" s="623" t="s">
        <v>281</v>
      </c>
      <c r="B56" s="624">
        <f t="shared" ref="B56:I56" si="3">$B$52*P36</f>
        <v>77709.040592684236</v>
      </c>
      <c r="C56" s="624">
        <f t="shared" si="3"/>
        <v>0</v>
      </c>
      <c r="D56" s="624">
        <f t="shared" si="3"/>
        <v>0</v>
      </c>
      <c r="E56" s="624">
        <f t="shared" si="3"/>
        <v>4336.8074511958184</v>
      </c>
      <c r="F56" s="624">
        <f t="shared" si="3"/>
        <v>13321.124560515687</v>
      </c>
      <c r="G56" s="624">
        <f t="shared" si="3"/>
        <v>13010.422353587455</v>
      </c>
      <c r="H56" s="624">
        <f t="shared" si="3"/>
        <v>0</v>
      </c>
      <c r="I56" s="625">
        <f t="shared" si="3"/>
        <v>0</v>
      </c>
      <c r="J56" s="579"/>
      <c r="K56" s="579"/>
      <c r="L56" s="617"/>
      <c r="M56" s="617"/>
      <c r="N56" s="617"/>
      <c r="O56" s="604"/>
      <c r="P56" s="604"/>
    </row>
    <row r="57" spans="1:16">
      <c r="J57" s="563"/>
      <c r="K57" s="563"/>
      <c r="L57" s="563"/>
      <c r="M57" s="563"/>
      <c r="N57" s="563"/>
    </row>
    <row r="58" spans="1:16">
      <c r="J58" s="563"/>
      <c r="K58" s="563"/>
      <c r="L58" s="563"/>
      <c r="M58" s="563"/>
      <c r="N58"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2021-06-29T16:37:52Z</dcterms:modified>
</cp:coreProperties>
</file>