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G10" i="56"/>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E46" i="14"/>
  <c r="E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<sst xmlns="http://schemas.openxmlformats.org/spreadsheetml/2006/main" count="2592" uniqueCount="978">
  <si>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</si>
  <si>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</si>
  <si>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</si>
  <si>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</si>
  <si>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</si>
  <si>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</si>
  <si>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</si>
  <si>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</si>
  <si>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</si>
  <si>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</si>
  <si>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</si>
  <si>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</si>
  <si>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</si>
  <si>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</si>
  <si>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</si>
  <si>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</si>
  <si>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</si>
  <si>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</si>
  <si>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</si>
  <si>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</si>
  <si>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</si>
  <si>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</si>
  <si>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</si>
  <si>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</si>
  <si>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</si>
  <si>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</si>
  <si>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</si>
  <si>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</si>
  <si>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</si>
  <si>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</si>
  <si>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</si>
  <si>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</si>
  <si>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</si>
  <si>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</si>
  <si>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</si>
  <si>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</si>
  <si>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</si>
  <si>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</si>
  <si>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</si>
  <si>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</si>
  <si>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</si>
  <si>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</si>
  <si>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</si>
  <si>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</si>
  <si>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</si>
  <si>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</si>
  <si>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</si>
  <si>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</si>
  <si>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</si>
  <si>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</si>
  <si>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</si>
  <si>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</si>
  <si>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</si>
  <si>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</si>
  <si>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</si>
  <si>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</si>
  <si>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</si>
  <si>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</si>
  <si>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</si>
  <si>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</si>
  <si>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</si>
  <si>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</si>
  <si>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</si>
  <si>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</si>
  <si>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</si>
  <si>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</si>
  <si>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</si>
  <si>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</si>
  <si>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</si>
  <si>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</si>
  <si>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</si>
  <si>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</si>
  <si>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</si>
  <si>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</si>
  <si>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</si>
  <si>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</si>
  <si>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</si>
  <si>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</si>
  <si>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</si>
  <si>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</si>
  <si>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</si>
  <si>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</si>
  <si>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</si>
  <si>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</si>
  <si>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</si>
  <si>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</si>
  <si>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</si>
  <si>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</si>
  <si>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</si>
  <si>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</si>
  <si>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</si>
  <si>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</si>
  <si>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</si>
  <si>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</si>
  <si>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</si>
  <si>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</si>
  <si>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</si>
  <si>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</si>
  <si>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</si>
  <si>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</si>
  <si>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</si>
  <si>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</si>
  <si>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</si>
  <si>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</si>
  <si>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</si>
  <si>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</si>
  <si>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</si>
  <si>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</si>
  <si>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</si>
  <si>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</si>
  <si>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</si>
  <si>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</si>
  <si>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</si>
  <si>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</si>
  <si>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</si>
  <si>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</si>
  <si>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</si>
  <si>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</si>
  <si>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</si>
  <si>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</si>
  <si>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</si>
  <si>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</si>
  <si>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</si>
  <si>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</si>
  <si>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</si>
  <si>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</si>
  <si>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</si>
  <si>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</si>
  <si>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</si>
  <si>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</si>
  <si>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</si>
  <si>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</si>
  <si>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</si>
  <si>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</si>
  <si>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</si>
  <si>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</si>
  <si>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</si>
  <si>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</si>
  <si>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</si>
  <si>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</si>
  <si>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</si>
  <si>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</si>
  <si>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</si>
  <si>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</si>
  <si>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</si>
  <si>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</si>
  <si>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</si>
  <si>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</si>
  <si>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</si>
  <si>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</si>
  <si>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</si>
  <si>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</si>
  <si>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</si>
  <si>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</si>
  <si>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</si>
  <si>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</si>
  <si>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</si>
  <si>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</si>
  <si>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</si>
  <si>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</si>
  <si>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</si>
  <si>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</si>
  <si>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</si>
  <si>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</si>
  <si>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</si>
  <si>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</si>
  <si>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</si>
  <si>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</si>
  <si>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</si>
  <si>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</si>
  <si>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</si>
  <si>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</si>
  <si>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</si>
  <si>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</si>
  <si>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</si>
  <si>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</si>
  <si>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</si>
  <si>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</si>
  <si>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</si>
  <si>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</si>
  <si>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</si>
  <si>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</si>
  <si>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</si>
  <si>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</si>
  <si>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</si>
  <si>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</si>
  <si>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</si>
  <si>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</si>
  <si>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</si>
  <si>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</si>
  <si>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</si>
  <si>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</si>
  <si>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</si>
  <si>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</si>
  <si>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</si>
  <si>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</si>
  <si>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</si>
  <si>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</si>
  <si>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</si>
  <si>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</si>
  <si>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</si>
  <si>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</si>
  <si>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</si>
  <si>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</si>
  <si>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</si>
  <si>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</si>
  <si>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</si>
  <si>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</si>
  <si>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</si>
  <si>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</si>
  <si>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</si>
  <si>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</si>
  <si>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</si>
  <si>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</si>
  <si>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</si>
  <si>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</si>
  <si>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</si>
  <si>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</si>
  <si>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</si>
  <si>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</si>
  <si>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</si>
  <si>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</si>
  <si>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</si>
  <si>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</si>
  <si>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</si>
  <si>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</si>
  <si>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</si>
  <si>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</si>
  <si>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</si>
  <si>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</si>
  <si>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</si>
  <si>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</si>
  <si>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</si>
  <si>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</si>
  <si>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</si>
  <si>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</si>
  <si>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</si>
  <si>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</si>
  <si>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</si>
  <si>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</si>
  <si>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</si>
  <si>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</si>
  <si>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</si>
  <si>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</si>
  <si>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</si>
  <si>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</si>
  <si>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</si>
  <si>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</si>
  <si>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</si>
  <si>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</si>
  <si>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</si>
  <si>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</si>
  <si>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</si>
  <si>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</si>
  <si>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</si>
  <si>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</si>
  <si>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</si>
  <si>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</si>
  <si>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</si>
  <si>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</si>
  <si>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</si>
  <si>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</si>
  <si>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</si>
  <si>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</si>
  <si>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</si>
  <si>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</si>
  <si>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</si>
  <si>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</si>
  <si>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</si>
  <si>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</si>
  <si>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</si>
  <si>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</si>
  <si>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</si>
  <si>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</si>
  <si>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</si>
  <si>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</si>
  <si>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</si>
  <si>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</si>
  <si>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</si>
  <si>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</si>
  <si>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</si>
  <si>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</si>
  <si>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</si>
  <si>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</si>
  <si>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</si>
  <si>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</si>
  <si>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</si>
  <si>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</si>
  <si>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</si>
  <si>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</si>
  <si>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</si>
  <si>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</si>
  <si>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</si>
  <si>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</si>
  <si>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</si>
  <si>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</si>
  <si>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</si>
  <si>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</si>
  <si>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</si>
  <si>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</si>
  <si>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</si>
  <si>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</si>
  <si>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</si>
  <si>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</si>
  <si>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</si>
  <si>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</si>
  <si>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</si>
  <si>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</si>
  <si>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</si>
  <si>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</si>
  <si>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</si>
  <si>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</si>
  <si>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</si>
  <si>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</si>
  <si>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</si>
  <si>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</si>
  <si>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</si>
  <si>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</si>
  <si>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</si>
  <si>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</si>
  <si>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</si>
  <si>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</si>
  <si>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</si>
  <si>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</si>
  <si>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</si>
  <si>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</si>
  <si>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</si>
  <si>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</si>
  <si>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</si>
  <si>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</si>
  <si>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</si>
  <si>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</si>
  <si>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</si>
  <si>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</si>
  <si>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</si>
  <si>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</si>
  <si>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</si>
  <si>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</si>
  <si>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</si>
  <si>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</si>
  <si>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</si>
  <si>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</si>
  <si>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</si>
  <si>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</si>
  <si>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</si>
  <si>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</si>
  <si>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</si>
  <si>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</si>
  <si>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</si>
  <si>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</si>
  <si>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</si>
  <si>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</si>
  <si>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</si>
  <si>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</si>
  <si>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</si>
  <si>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</si>
  <si>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</si>
  <si>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</si>
  <si>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</si>
  <si>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</si>
  <si>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</si>
  <si>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</si>
  <si>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</si>
  <si>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</si>
  <si>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</si>
  <si>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</si>
  <si>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</si>
  <si>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</si>
  <si>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</si>
  <si>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</si>
  <si>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</si>
  <si>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</si>
  <si>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</si>
  <si>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</si>
  <si>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</si>
  <si>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</si>
  <si>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</si>
  <si>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</si>
  <si>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</si>
  <si>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</si>
  <si>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</si>
  <si>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</si>
  <si>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</si>
  <si>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</si>
  <si>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</si>
  <si>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</si>
  <si>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</si>
  <si>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</si>
  <si>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</si>
  <si>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</si>
  <si>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</si>
  <si>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</si>
  <si>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</si>
  <si>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</si>
  <si>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</si>
  <si>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</si>
  <si>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</si>
  <si>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</si>
  <si>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</si>
  <si>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</si>
  <si>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</si>
  <si>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</si>
  <si>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</si>
  <si>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</si>
  <si>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</si>
  <si>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</si>
  <si>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</si>
  <si>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</si>
  <si>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</si>
  <si>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</si>
  <si>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</si>
  <si>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</si>
  <si>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</si>
  <si>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</si>
  <si>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</si>
  <si>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</si>
  <si>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</si>
  <si>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</si>
  <si>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</si>
  <si>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</si>
  <si>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</si>
  <si>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</si>
  <si>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</si>
  <si>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</si>
  <si>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</si>
  <si>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</si>
  <si>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</si>
  <si>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</si>
  <si>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</si>
  <si>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</si>
  <si>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</si>
  <si>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</si>
  <si>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</si>
  <si>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</si>
  <si>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</si>
  <si>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</si>
  <si>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</si>
  <si>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</si>
  <si>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</si>
  <si>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</si>
  <si>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</si>
  <si>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</si>
  <si>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</si>
  <si>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</si>
  <si>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</si>
  <si>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</si>
  <si>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</si>
  <si>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</si>
  <si>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</si>
  <si>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</si>
  <si>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</si>
  <si>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</si>
  <si>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</si>
  <si>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</si>
  <si>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</si>
  <si>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</si>
  <si>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</si>
  <si>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</si>
  <si>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</si>
  <si>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</si>
  <si>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</si>
  <si>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</si>
  <si>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</si>
  <si>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</si>
  <si>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</si>
  <si>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</si>
  <si>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</si>
  <si>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</si>
  <si>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</si>
  <si>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</si>
  <si>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</si>
  <si>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</si>
  <si>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</si>
  <si>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</si>
  <si>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</si>
  <si>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</si>
  <si>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</si>
  <si>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</si>
  <si>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</si>
  <si>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</si>
  <si>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</si>
  <si>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</si>
  <si>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</si>
  <si>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</si>
  <si>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</si>
  <si>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</si>
  <si>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</si>
  <si>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</si>
  <si>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</si>
  <si>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</si>
  <si>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</si>
  <si>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</si>
  <si>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</si>
  <si>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</si>
  <si>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</si>
  <si>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</si>
  <si>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</si>
  <si>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</si>
  <si>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</si>
  <si>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</si>
  <si>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</si>
  <si>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</si>
  <si>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</si>
  <si>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</si>
  <si>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</si>
  <si>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</si>
  <si>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</si>
  <si>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</si>
  <si>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</si>
  <si>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</si>
  <si>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</si>
  <si>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</si>
  <si>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</si>
  <si>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</si>
  <si>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</si>
  <si>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</si>
  <si>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</si>
  <si>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</si>
  <si>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</si>
  <si>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</si>
  <si>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</si>
  <si>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</si>
  <si>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</si>
  <si>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</si>
  <si>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</si>
  <si>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</si>
  <si>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</si>
  <si>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</si>
  <si>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</si>
  <si>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</si>
  <si>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</si>
  <si>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</si>
  <si>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</si>
  <si>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</si>
  <si>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</si>
  <si>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</si>
  <si>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</si>
  <si>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</si>
  <si>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</si>
  <si>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</si>
  <si>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</si>
  <si>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</si>
  <si>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</si>
  <si>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</si>
  <si>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</si>
  <si>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</si>
  <si>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</si>
  <si>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</si>
  <si>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</si>
  <si>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</si>
  <si>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</si>
  <si>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</si>
  <si>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</si>
  <si>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</si>
  <si>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</si>
  <si>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</si>
  <si>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</si>
  <si>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</si>
  <si>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</si>
  <si>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</si>
  <si>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</si>
  <si>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</si>
  <si>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</si>
  <si>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</si>
  <si>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</si>
  <si>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</si>
  <si>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</si>
  <si>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</si>
  <si>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</si>
  <si>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</si>
  <si>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</si>
  <si>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</si>
  <si>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</si>
  <si>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</si>
  <si>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</si>
  <si>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</si>
  <si>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</si>
  <si>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</si>
  <si>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</si>
  <si>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</si>
  <si>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</si>
  <si>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</si>
  <si>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</si>
  <si>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</si>
  <si>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</si>
  <si>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</si>
  <si>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</si>
  <si>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</si>
  <si>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</si>
  <si>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</si>
  <si>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</si>
  <si>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</si>
  <si>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</si>
  <si>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</si>
  <si>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</si>
  <si>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</si>
  <si>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</si>
  <si>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</si>
  <si>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</si>
  <si>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</si>
  <si>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</si>
  <si>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</si>
  <si>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</si>
  <si>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</si>
  <si>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</si>
  <si>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</si>
  <si>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</si>
  <si>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</si>
  <si>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</si>
  <si>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</si>
  <si>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</si>
  <si>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</si>
  <si>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</si>
  <si>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</si>
  <si>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</si>
  <si>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</si>
  <si>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</si>
  <si>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</si>
  <si>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</si>
  <si>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</si>
  <si>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</si>
  <si>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</si>
  <si>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</si>
  <si>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</si>
  <si>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</si>
  <si>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</si>
  <si>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</si>
  <si>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</si>
  <si>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</si>
  <si>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</si>
  <si>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</si>
  <si>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</si>
  <si>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</si>
  <si>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</si>
  <si>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</si>
  <si>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</si>
  <si>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</si>
  <si>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</si>
  <si>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</si>
  <si>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</si>
  <si>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</si>
  <si>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</si>
  <si>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</si>
  <si>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</si>
  <si>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</si>
  <si>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</si>
  <si>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</si>
  <si>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</si>
  <si>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</si>
  <si>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</si>
  <si>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</si>
  <si>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</si>
  <si>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</si>
  <si>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</si>
  <si>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</si>
  <si>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</si>
  <si>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</si>
  <si>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</si>
  <si>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</si>
  <si>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</si>
  <si>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</si>
  <si>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</si>
  <si>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</si>
  <si>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</si>
  <si>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</si>
  <si>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</si>
  <si>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</si>
  <si>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</si>
  <si>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</si>
  <si>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</si>
  <si>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</si>
  <si>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</si>
  <si>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</si>
  <si>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</si>
  <si>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</si>
  <si>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</si>
  <si>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</si>
  <si>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</si>
  <si>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</si>
  <si>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</si>
  <si>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</si>
  <si>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</si>
  <si>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</si>
  <si>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</si>
  <si>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</si>
  <si>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</si>
  <si>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</si>
  <si>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</si>
  <si>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</si>
  <si>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</si>
  <si>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</si>
  <si>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</si>
  <si>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</si>
  <si>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</si>
  <si>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</si>
  <si>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</si>
  <si>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</si>
  <si>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</si>
  <si>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</si>
  <si>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</si>
  <si>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</si>
  <si>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</si>
  <si>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</si>
  <si>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</si>
  <si>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</si>
  <si>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</si>
  <si>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</si>
  <si>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</si>
  <si>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</si>
  <si>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</si>
  <si>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</si>
  <si>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</si>
  <si>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</si>
  <si>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</si>
  <si>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</si>
  <si>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</si>
  <si>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</si>
  <si>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</si>
  <si>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</si>
  <si>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</si>
  <si>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</si>
  <si>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</si>
  <si>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</si>
  <si>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</si>
  <si>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</si>
  <si>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</si>
  <si>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</si>
  <si>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</si>
  <si>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</si>
  <si>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</si>
  <si>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</si>
  <si>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</si>
  <si>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</si>
  <si>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</si>
  <si>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</si>
  <si>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</si>
  <si>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</si>
  <si>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</si>
  <si>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</si>
  <si>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</si>
  <si>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</si>
  <si>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</si>
  <si>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</si>
  <si>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</si>
  <si>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</si>
  <si>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</si>
  <si>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</si>
  <si>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</si>
  <si>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</si>
  <si>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</si>
  <si>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</si>
  <si>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</si>
  <si>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</si>
  <si>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</si>
  <si>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</si>
  <si>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</si>
  <si>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</si>
  <si>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</si>
  <si>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</si>
  <si>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</si>
  <si>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</si>
  <si>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</si>
  <si>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</si>
  <si>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</si>
  <si>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</si>
  <si>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</si>
  <si>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</si>
  <si>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</si>
  <si>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</si>
  <si>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</si>
  <si>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</si>
  <si>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</si>
  <si>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</si>
  <si>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</si>
  <si>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</si>
  <si>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</si>
  <si>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</si>
  <si>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</si>
  <si>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</si>
  <si>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</si>
  <si>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</si>
  <si>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</si>
  <si>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</si>
  <si>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</si>
  <si>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</si>
  <si>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</si>
  <si>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</si>
  <si>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</si>
  <si>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</si>
  <si>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</si>
  <si>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</si>
  <si>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</si>
  <si>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</si>
  <si>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</si>
  <si>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</si>
  <si>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</si>
  <si>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</si>
  <si>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</si>
  <si>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</si>
  <si>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</si>
  <si>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</si>
  <si>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</si>
  <si>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</si>
  <si>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</si>
  <si>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</si>
  <si>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</si>
  <si>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</si>
  <si>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</si>
  <si>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</si>
  <si>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</si>
  <si>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</si>
  <si>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</si>
  <si>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</si>
  <si>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</si>
  <si>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</si>
  <si>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</si>
  <si>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</si>
  <si>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</si>
  <si>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</si>
  <si>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</si>
  <si>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</si>
  <si>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</si>
  <si>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</si>
  <si>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</si>
  <si>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</si>
  <si>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</si>
  <si>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</si>
  <si>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</si>
  <si>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</si>
  <si>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</si>
  <si>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</si>
  <si>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</si>
  <si>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</si>
  <si>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</si>
  <si>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</si>
  <si>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</si>
  <si>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</si>
  <si>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</si>
  <si>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</si>
  <si>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</si>
  <si>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</si>
  <si>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</si>
  <si>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</si>
  <si>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</si>
  <si>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</si>
  <si>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</si>
  <si>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</si>
  <si>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</si>
  <si>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</si>
  <si>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</si>
  <si>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</si>
  <si>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</si>
  <si>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</si>
  <si>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</si>
  <si>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</si>
  <si>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</si>
  <si>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</si>
  <si>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</si>
  <si>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</si>
  <si>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</si>
  <si>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</si>
  <si>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</si>
  <si>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</si>
  <si>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</si>
  <si>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</si>
  <si>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</si>
  <si>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</si>
  <si>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</si>
  <si>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</si>
  <si>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</si>
  <si>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</si>
  <si>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</si>
  <si>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</si>
  <si>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</si>
  <si>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</si>
  <si>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</si>
  <si>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</si>
  <si>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</si>
  <si>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</si>
  <si>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</si>
  <si>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</si>
  <si>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</si>
  <si>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</si>
  <si>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</si>
  <si>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</si>
  <si>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</si>
  <si>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</si>
  <si>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</si>
  <si>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</si>
  <si>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</si>
  <si>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</si>
  <si>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</si>
  <si>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</si>
  <si>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</si>
  <si>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</si>
  <si>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</si>
  <si>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</si>
  <si>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</si>
  <si>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</si>
  <si>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</si>
  <si>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</si>
  <si>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</si>
  <si>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</si>
  <si>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</si>
  <si>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</si>
  <si>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</si>
  <si>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</si>
  <si>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</si>
  <si>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</si>
  <si>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</si>
  <si>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</si>
  <si>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</si>
  <si>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</si>
  <si>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</si>
  <si>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</si>
  <si>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</si>
  <si>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</si>
  <si>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</si>
  <si>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</si>
  <si>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</si>
  <si>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</si>
  <si>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</si>
  <si>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</si>
  <si>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</si>
  <si>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</si>
  <si>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</si>
  <si>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</si>
  <si>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</si>
  <si>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</si>
  <si>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</si>
  <si>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</si>
  <si>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</si>
  <si>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</si>
  <si>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</si>
  <si>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</si>
  <si>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</si>
  <si>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</si>
  <si>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</si>
  <si>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</si>
  <si>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</si>
  <si>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</si>
  <si>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</si>
  <si>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</si>
  <si>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</si>
  <si>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</si>
  <si>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</si>
  <si>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</si>
  <si>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</si>
  <si>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</si>
  <si>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</si>
  <si>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</si>
  <si>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</si>
  <si>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</si>
  <si>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</si>
  <si>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</si>
  <si>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</si>
  <si>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</si>
  <si>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</si>
  <si>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</si>
  <si>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11056</t>
  </si>
  <si>
    <t>ZWIJNDRECHT</t>
  </si>
  <si>
    <t>Paarden&amp;pony's 200 - 600 kg</t>
  </si>
  <si>
    <t>Paarden&amp;pony's &lt; 200 kg</t>
  </si>
  <si>
    <t>Fluvius</t>
  </si>
  <si>
    <t>referentietaak LNE (2017); Jaarverslag De Lijn</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</si>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</sst>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11056</v>
      </c>
      <c r="B6" s="386"/>
      <c r="C6" s="387"/>
    </row>
    <row r="7" spans="1:7" s="384" customFormat="1" ht="15.75" customHeight="1">
      <c r="A7" s="388" t="str">
        <f>txtMunicipality</f>
        <v>ZWIJNDRECHT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25006.366088035622</v>
      </c>
      <c r="D10" s="676">
        <f ca="1">tertiair!C16</f>
        <v>32.142857142857146</v>
      </c>
      <c r="E10" s="676">
        <f ca="1">tertiair!D16</f>
        <v>26320.642850833847</v>
      </c>
      <c r="F10" s="676">
        <f>tertiair!E16</f>
        <v>192.69310745770116</v>
      </c>
      <c r="G10" s="676">
        <f ca="1">tertiair!F16</f>
        <v>4671.2142852724828</v>
      </c>
      <c r="H10" s="676">
        <f>tertiair!G16</f>
        <v>0</v>
      </c>
      <c r="I10" s="676">
        <f>tertiair!H16</f>
        <v>0</v>
      </c>
      <c r="J10" s="676">
        <f>tertiair!I16</f>
        <v>0</v>
      </c>
      <c r="K10" s="676">
        <f>tertiair!J16</f>
        <v>0</v>
      </c>
      <c r="L10" s="676">
        <f>tertiair!K16</f>
        <v>0</v>
      </c>
      <c r="M10" s="676">
        <f ca="1">tertiair!L16</f>
        <v>0</v>
      </c>
      <c r="N10" s="676">
        <f>tertiair!M16</f>
        <v>0</v>
      </c>
      <c r="O10" s="676">
        <f ca="1">tertiair!N16</f>
        <v>2014.7395336103443</v>
      </c>
      <c r="P10" s="676">
        <f>tertiair!O16</f>
        <v>0</v>
      </c>
      <c r="Q10" s="677">
        <f>tertiair!P16</f>
        <v>19.066666666666666</v>
      </c>
      <c r="R10" s="679">
        <f ca="1">SUM(C10:Q10)</f>
        <v>58256.86538901952</v>
      </c>
      <c r="S10" s="68"/>
    </row>
    <row r="11" spans="1:19" s="445" customFormat="1">
      <c r="A11" s="791" t="s">
        <v>220</v>
      </c>
      <c r="B11" s="796"/>
      <c r="C11" s="676">
        <f>huishoudens!B8</f>
        <v>33071.415394542186</v>
      </c>
      <c r="D11" s="676">
        <f>huishoudens!C8</f>
        <v>0</v>
      </c>
      <c r="E11" s="676">
        <f>huishoudens!D8</f>
        <v>96443.477295670338</v>
      </c>
      <c r="F11" s="676">
        <f>huishoudens!E8</f>
        <v>913.64507478926828</v>
      </c>
      <c r="G11" s="676">
        <f>huishoudens!F8</f>
        <v>27854.385748360142</v>
      </c>
      <c r="H11" s="676">
        <f>huishoudens!G8</f>
        <v>0</v>
      </c>
      <c r="I11" s="676">
        <f>huishoudens!H8</f>
        <v>0</v>
      </c>
      <c r="J11" s="676">
        <f>huishoudens!I8</f>
        <v>0</v>
      </c>
      <c r="K11" s="676">
        <f>huishoudens!J8</f>
        <v>505.40812365932334</v>
      </c>
      <c r="L11" s="676">
        <f>huishoudens!K8</f>
        <v>0</v>
      </c>
      <c r="M11" s="676">
        <f>huishoudens!L8</f>
        <v>0</v>
      </c>
      <c r="N11" s="676">
        <f>huishoudens!M8</f>
        <v>0</v>
      </c>
      <c r="O11" s="676">
        <f>huishoudens!N8</f>
        <v>10745.860052085685</v>
      </c>
      <c r="P11" s="676">
        <f>huishoudens!O8</f>
        <v>76.603333333333339</v>
      </c>
      <c r="Q11" s="677">
        <f>huishoudens!P8</f>
        <v>95.333333333333343</v>
      </c>
      <c r="R11" s="679">
        <f>SUM(C11:Q11)</f>
        <v>169706.1283557736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39205.869462738352</v>
      </c>
      <c r="D13" s="676">
        <f>industrie!C18</f>
        <v>0</v>
      </c>
      <c r="E13" s="676">
        <f>industrie!D18</f>
        <v>11817.346628754265</v>
      </c>
      <c r="F13" s="676">
        <f>industrie!E18</f>
        <v>341.95134852620112</v>
      </c>
      <c r="G13" s="676">
        <f>industrie!F18</f>
        <v>8483.7332064995317</v>
      </c>
      <c r="H13" s="676">
        <f>industrie!G18</f>
        <v>0</v>
      </c>
      <c r="I13" s="676">
        <f>industrie!H18</f>
        <v>0</v>
      </c>
      <c r="J13" s="676">
        <f>industrie!I18</f>
        <v>0</v>
      </c>
      <c r="K13" s="676">
        <f>industrie!J18</f>
        <v>185.61522138063839</v>
      </c>
      <c r="L13" s="676">
        <f>industrie!K18</f>
        <v>0</v>
      </c>
      <c r="M13" s="676">
        <f>industrie!L18</f>
        <v>0</v>
      </c>
      <c r="N13" s="676">
        <f>industrie!M18</f>
        <v>0</v>
      </c>
      <c r="O13" s="676">
        <f>industrie!N18</f>
        <v>1179.2563371681997</v>
      </c>
      <c r="P13" s="676">
        <f>industrie!O18</f>
        <v>0</v>
      </c>
      <c r="Q13" s="677">
        <f>industrie!P18</f>
        <v>0</v>
      </c>
      <c r="R13" s="679">
        <f>SUM(C13:Q13)</f>
        <v>61213.772205067187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97283.650945316156</v>
      </c>
      <c r="D16" s="709">
        <f t="shared" ref="D16:R16" ca="1" si="0">SUM(D9:D15)</f>
        <v>32.142857142857146</v>
      </c>
      <c r="E16" s="709">
        <f t="shared" ca="1" si="0"/>
        <v>134581.46677525845</v>
      </c>
      <c r="F16" s="709">
        <f t="shared" si="0"/>
        <v>1448.2895307731706</v>
      </c>
      <c r="G16" s="709">
        <f t="shared" ca="1" si="0"/>
        <v>41009.333240132153</v>
      </c>
      <c r="H16" s="709">
        <f t="shared" si="0"/>
        <v>0</v>
      </c>
      <c r="I16" s="709">
        <f t="shared" si="0"/>
        <v>0</v>
      </c>
      <c r="J16" s="709">
        <f t="shared" si="0"/>
        <v>0</v>
      </c>
      <c r="K16" s="709">
        <f t="shared" si="0"/>
        <v>691.02334503996167</v>
      </c>
      <c r="L16" s="709">
        <f t="shared" si="0"/>
        <v>0</v>
      </c>
      <c r="M16" s="709">
        <f t="shared" ca="1" si="0"/>
        <v>0</v>
      </c>
      <c r="N16" s="709">
        <f t="shared" si="0"/>
        <v>0</v>
      </c>
      <c r="O16" s="709">
        <f t="shared" ca="1" si="0"/>
        <v>13939.855922864228</v>
      </c>
      <c r="P16" s="709">
        <f t="shared" si="0"/>
        <v>76.603333333333339</v>
      </c>
      <c r="Q16" s="709">
        <f t="shared" si="0"/>
        <v>114.4</v>
      </c>
      <c r="R16" s="709">
        <f t="shared" ca="1" si="0"/>
        <v>289176.76594986033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1074.1082837922202</v>
      </c>
      <c r="D19" s="676">
        <f>transport!C54</f>
        <v>0</v>
      </c>
      <c r="E19" s="676">
        <f>transport!D54</f>
        <v>0</v>
      </c>
      <c r="F19" s="676">
        <f>transport!E54</f>
        <v>0</v>
      </c>
      <c r="G19" s="676">
        <f>transport!F54</f>
        <v>0</v>
      </c>
      <c r="H19" s="676">
        <f>transport!G54</f>
        <v>1147.656568195536</v>
      </c>
      <c r="I19" s="676">
        <f>transport!H54</f>
        <v>0</v>
      </c>
      <c r="J19" s="676">
        <f>transport!I54</f>
        <v>0</v>
      </c>
      <c r="K19" s="676">
        <f>transport!J54</f>
        <v>0</v>
      </c>
      <c r="L19" s="676">
        <f>transport!K54</f>
        <v>0</v>
      </c>
      <c r="M19" s="676">
        <f>transport!L54</f>
        <v>0</v>
      </c>
      <c r="N19" s="676">
        <f>transport!M54</f>
        <v>50.725197991384178</v>
      </c>
      <c r="O19" s="676">
        <f>transport!N54</f>
        <v>0</v>
      </c>
      <c r="P19" s="676">
        <f>transport!O54</f>
        <v>0</v>
      </c>
      <c r="Q19" s="677">
        <f>transport!P54</f>
        <v>0</v>
      </c>
      <c r="R19" s="679">
        <f>SUM(C19:Q19)</f>
        <v>2272.4900499791402</v>
      </c>
      <c r="S19" s="68"/>
    </row>
    <row r="20" spans="1:19" s="445" customFormat="1">
      <c r="A20" s="791" t="s">
        <v>302</v>
      </c>
      <c r="B20" s="796"/>
      <c r="C20" s="676">
        <f>transport!B14</f>
        <v>7.9484066075430366</v>
      </c>
      <c r="D20" s="676">
        <f>transport!C14</f>
        <v>0</v>
      </c>
      <c r="E20" s="676">
        <f>transport!D14</f>
        <v>8.6778769216713254</v>
      </c>
      <c r="F20" s="676">
        <f>transport!E14</f>
        <v>650.25319322078997</v>
      </c>
      <c r="G20" s="676">
        <f>transport!F14</f>
        <v>0</v>
      </c>
      <c r="H20" s="676">
        <f>transport!G14</f>
        <v>188147.96884370589</v>
      </c>
      <c r="I20" s="676">
        <f>transport!H14</f>
        <v>21850.321075204916</v>
      </c>
      <c r="J20" s="676">
        <f>transport!I14</f>
        <v>0</v>
      </c>
      <c r="K20" s="676">
        <f>transport!J14</f>
        <v>0</v>
      </c>
      <c r="L20" s="676">
        <f>transport!K14</f>
        <v>0</v>
      </c>
      <c r="M20" s="676">
        <f>transport!L14</f>
        <v>0</v>
      </c>
      <c r="N20" s="676">
        <f>transport!M14</f>
        <v>9372.622305314042</v>
      </c>
      <c r="O20" s="676">
        <f>transport!N14</f>
        <v>0</v>
      </c>
      <c r="P20" s="676">
        <f>transport!O14</f>
        <v>0</v>
      </c>
      <c r="Q20" s="677">
        <f>transport!P14</f>
        <v>0</v>
      </c>
      <c r="R20" s="679">
        <f>SUM(C20:Q20)</f>
        <v>220037.79170097486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1082.0566903997633</v>
      </c>
      <c r="D22" s="794">
        <f t="shared" ref="D22:R22" si="1">SUM(D18:D21)</f>
        <v>0</v>
      </c>
      <c r="E22" s="794">
        <f t="shared" si="1"/>
        <v>8.6778769216713254</v>
      </c>
      <c r="F22" s="794">
        <f t="shared" si="1"/>
        <v>650.25319322078997</v>
      </c>
      <c r="G22" s="794">
        <f t="shared" si="1"/>
        <v>0</v>
      </c>
      <c r="H22" s="794">
        <f t="shared" si="1"/>
        <v>189295.62541190142</v>
      </c>
      <c r="I22" s="794">
        <f t="shared" si="1"/>
        <v>21850.321075204916</v>
      </c>
      <c r="J22" s="794">
        <f t="shared" si="1"/>
        <v>0</v>
      </c>
      <c r="K22" s="794">
        <f t="shared" si="1"/>
        <v>0</v>
      </c>
      <c r="L22" s="794">
        <f t="shared" si="1"/>
        <v>0</v>
      </c>
      <c r="M22" s="794">
        <f t="shared" si="1"/>
        <v>0</v>
      </c>
      <c r="N22" s="794">
        <f t="shared" si="1"/>
        <v>9423.3475033054256</v>
      </c>
      <c r="O22" s="794">
        <f t="shared" si="1"/>
        <v>0</v>
      </c>
      <c r="P22" s="794">
        <f t="shared" si="1"/>
        <v>0</v>
      </c>
      <c r="Q22" s="794">
        <f t="shared" si="1"/>
        <v>0</v>
      </c>
      <c r="R22" s="794">
        <f t="shared" si="1"/>
        <v>222310.28175095399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1144.0595156556801</v>
      </c>
      <c r="D24" s="676">
        <f>+landbouw!C8</f>
        <v>44145</v>
      </c>
      <c r="E24" s="676">
        <f>+landbouw!D8</f>
        <v>0</v>
      </c>
      <c r="F24" s="676">
        <f>+landbouw!E8</f>
        <v>10.777807182497044</v>
      </c>
      <c r="G24" s="676">
        <f>+landbouw!F8</f>
        <v>3733.4458795929932</v>
      </c>
      <c r="H24" s="676">
        <f>+landbouw!G8</f>
        <v>0</v>
      </c>
      <c r="I24" s="676">
        <f>+landbouw!H8</f>
        <v>0</v>
      </c>
      <c r="J24" s="676">
        <f>+landbouw!I8</f>
        <v>0</v>
      </c>
      <c r="K24" s="676">
        <f>+landbouw!J8</f>
        <v>141.52572679102283</v>
      </c>
      <c r="L24" s="676">
        <f>+landbouw!K8</f>
        <v>0</v>
      </c>
      <c r="M24" s="676">
        <f>+landbouw!L8</f>
        <v>0</v>
      </c>
      <c r="N24" s="676">
        <f>+landbouw!M8</f>
        <v>0</v>
      </c>
      <c r="O24" s="676">
        <f>+landbouw!N8</f>
        <v>0</v>
      </c>
      <c r="P24" s="676">
        <f>+landbouw!O8</f>
        <v>0</v>
      </c>
      <c r="Q24" s="677">
        <f>+landbouw!P8</f>
        <v>0</v>
      </c>
      <c r="R24" s="679">
        <f>SUM(C24:Q24)</f>
        <v>49174.808929222185</v>
      </c>
      <c r="S24" s="68"/>
    </row>
    <row r="25" spans="1:19" s="445" customFormat="1" ht="15" thickBot="1">
      <c r="A25" s="813" t="s">
        <v>879</v>
      </c>
      <c r="B25" s="979"/>
      <c r="C25" s="980">
        <f>IF(Onbekend_ele_kWh="---",0,Onbekend_ele_kWh)/1000+IF(REST_rest_ele_kWh="---",0,REST_rest_ele_kWh)/1000</f>
        <v>2044.51884369699</v>
      </c>
      <c r="D25" s="980"/>
      <c r="E25" s="980">
        <f>IF(onbekend_gas_kWh="---",0,onbekend_gas_kWh)/1000+IF(REST_rest_gas_kWh="---",0,REST_rest_gas_kWh)/1000</f>
        <v>2881.9123028232998</v>
      </c>
      <c r="F25" s="980"/>
      <c r="G25" s="980"/>
      <c r="H25" s="980"/>
      <c r="I25" s="980"/>
      <c r="J25" s="980"/>
      <c r="K25" s="980"/>
      <c r="L25" s="980"/>
      <c r="M25" s="980"/>
      <c r="N25" s="980"/>
      <c r="O25" s="980"/>
      <c r="P25" s="980"/>
      <c r="Q25" s="981"/>
      <c r="R25" s="679">
        <f>SUM(C25:Q25)</f>
        <v>4926.43114652029</v>
      </c>
      <c r="S25" s="68"/>
    </row>
    <row r="26" spans="1:19" s="445" customFormat="1" ht="15.75" thickBot="1">
      <c r="A26" s="682" t="s">
        <v>880</v>
      </c>
      <c r="B26" s="799"/>
      <c r="C26" s="794">
        <f>SUM(C24:C25)</f>
        <v>3188.5783593526703</v>
      </c>
      <c r="D26" s="794">
        <f t="shared" ref="D26:R26" si="2">SUM(D24:D25)</f>
        <v>44145</v>
      </c>
      <c r="E26" s="794">
        <f t="shared" si="2"/>
        <v>2881.9123028232998</v>
      </c>
      <c r="F26" s="794">
        <f t="shared" si="2"/>
        <v>10.777807182497044</v>
      </c>
      <c r="G26" s="794">
        <f t="shared" si="2"/>
        <v>3733.4458795929932</v>
      </c>
      <c r="H26" s="794">
        <f t="shared" si="2"/>
        <v>0</v>
      </c>
      <c r="I26" s="794">
        <f t="shared" si="2"/>
        <v>0</v>
      </c>
      <c r="J26" s="794">
        <f t="shared" si="2"/>
        <v>0</v>
      </c>
      <c r="K26" s="794">
        <f t="shared" si="2"/>
        <v>141.52572679102283</v>
      </c>
      <c r="L26" s="794">
        <f t="shared" si="2"/>
        <v>0</v>
      </c>
      <c r="M26" s="794">
        <f t="shared" si="2"/>
        <v>0</v>
      </c>
      <c r="N26" s="794">
        <f t="shared" si="2"/>
        <v>0</v>
      </c>
      <c r="O26" s="794">
        <f t="shared" si="2"/>
        <v>0</v>
      </c>
      <c r="P26" s="794">
        <f t="shared" si="2"/>
        <v>0</v>
      </c>
      <c r="Q26" s="794">
        <f t="shared" si="2"/>
        <v>0</v>
      </c>
      <c r="R26" s="794">
        <f t="shared" si="2"/>
        <v>54101.240075742477</v>
      </c>
      <c r="S26" s="68"/>
    </row>
    <row r="27" spans="1:19" s="445" customFormat="1" ht="17.25" thickTop="1" thickBot="1">
      <c r="A27" s="683" t="s">
        <v>115</v>
      </c>
      <c r="B27" s="786"/>
      <c r="C27" s="684">
        <f ca="1">C22+C16+C26</f>
        <v>101554.2859950686</v>
      </c>
      <c r="D27" s="684">
        <f t="shared" ref="D27:R27" ca="1" si="3">D22+D16+D26</f>
        <v>44177.142857142855</v>
      </c>
      <c r="E27" s="684">
        <f t="shared" ca="1" si="3"/>
        <v>137472.05695500341</v>
      </c>
      <c r="F27" s="684">
        <f t="shared" si="3"/>
        <v>2109.3205311764573</v>
      </c>
      <c r="G27" s="684">
        <f t="shared" ca="1" si="3"/>
        <v>44742.77911972515</v>
      </c>
      <c r="H27" s="684">
        <f t="shared" si="3"/>
        <v>189295.62541190142</v>
      </c>
      <c r="I27" s="684">
        <f t="shared" si="3"/>
        <v>21850.321075204916</v>
      </c>
      <c r="J27" s="684">
        <f t="shared" si="3"/>
        <v>0</v>
      </c>
      <c r="K27" s="684">
        <f t="shared" si="3"/>
        <v>832.54907183098453</v>
      </c>
      <c r="L27" s="684">
        <f t="shared" si="3"/>
        <v>0</v>
      </c>
      <c r="M27" s="684">
        <f t="shared" ca="1" si="3"/>
        <v>0</v>
      </c>
      <c r="N27" s="684">
        <f t="shared" si="3"/>
        <v>9423.3475033054256</v>
      </c>
      <c r="O27" s="684">
        <f t="shared" ca="1" si="3"/>
        <v>13939.855922864228</v>
      </c>
      <c r="P27" s="684">
        <f t="shared" si="3"/>
        <v>76.603333333333339</v>
      </c>
      <c r="Q27" s="684">
        <f t="shared" si="3"/>
        <v>114.4</v>
      </c>
      <c r="R27" s="684">
        <f t="shared" ca="1" si="3"/>
        <v>565588.2877765568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5439.1768822142676</v>
      </c>
      <c r="D40" s="676">
        <f ca="1">tertiair!C20</f>
        <v>7.6386554621848752</v>
      </c>
      <c r="E40" s="676">
        <f ca="1">tertiair!D20</f>
        <v>5316.7698558684369</v>
      </c>
      <c r="F40" s="676">
        <f>tertiair!E20</f>
        <v>43.741335392898165</v>
      </c>
      <c r="G40" s="676">
        <f ca="1">tertiair!F20</f>
        <v>1247.214214167753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12054.540943105541</v>
      </c>
    </row>
    <row r="41" spans="1:18">
      <c r="A41" s="804" t="s">
        <v>220</v>
      </c>
      <c r="B41" s="811"/>
      <c r="C41" s="676">
        <f ca="1">huishoudens!B12</f>
        <v>7193.4193654056635</v>
      </c>
      <c r="D41" s="676">
        <f ca="1">huishoudens!C12</f>
        <v>0</v>
      </c>
      <c r="E41" s="676">
        <f>huishoudens!D12</f>
        <v>19481.582413725409</v>
      </c>
      <c r="F41" s="676">
        <f>huishoudens!E12</f>
        <v>207.3974319771639</v>
      </c>
      <c r="G41" s="676">
        <f>huishoudens!F12</f>
        <v>7437.1209948121586</v>
      </c>
      <c r="H41" s="676">
        <f>huishoudens!G12</f>
        <v>0</v>
      </c>
      <c r="I41" s="676">
        <f>huishoudens!H12</f>
        <v>0</v>
      </c>
      <c r="J41" s="676">
        <f>huishoudens!I12</f>
        <v>0</v>
      </c>
      <c r="K41" s="676">
        <f>huishoudens!J12</f>
        <v>178.91447577540046</v>
      </c>
      <c r="L41" s="676">
        <f>huishoudens!K12</f>
        <v>0</v>
      </c>
      <c r="M41" s="676">
        <f>huishoudens!L12</f>
        <v>0</v>
      </c>
      <c r="N41" s="676">
        <f>huishoudens!M12</f>
        <v>0</v>
      </c>
      <c r="O41" s="676">
        <f>huishoudens!N12</f>
        <v>0</v>
      </c>
      <c r="P41" s="676">
        <f>huishoudens!O12</f>
        <v>0</v>
      </c>
      <c r="Q41" s="751">
        <f>huishoudens!P12</f>
        <v>0</v>
      </c>
      <c r="R41" s="832">
        <f t="shared" ca="1" si="4"/>
        <v>34498.434681695799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8527.7348207289415</v>
      </c>
      <c r="D43" s="676">
        <f ca="1">industrie!C22</f>
        <v>0</v>
      </c>
      <c r="E43" s="676">
        <f>industrie!D22</f>
        <v>2387.1040190083618</v>
      </c>
      <c r="F43" s="676">
        <f>industrie!E22</f>
        <v>77.62295611544765</v>
      </c>
      <c r="G43" s="676">
        <f>industrie!F22</f>
        <v>2265.1567661353752</v>
      </c>
      <c r="H43" s="676">
        <f>industrie!G22</f>
        <v>0</v>
      </c>
      <c r="I43" s="676">
        <f>industrie!H22</f>
        <v>0</v>
      </c>
      <c r="J43" s="676">
        <f>industrie!I22</f>
        <v>0</v>
      </c>
      <c r="K43" s="676">
        <f>industrie!J22</f>
        <v>65.70778836874598</v>
      </c>
      <c r="L43" s="676">
        <f>industrie!K22</f>
        <v>0</v>
      </c>
      <c r="M43" s="676">
        <f>industrie!L22</f>
        <v>0</v>
      </c>
      <c r="N43" s="676">
        <f>industrie!M22</f>
        <v>0</v>
      </c>
      <c r="O43" s="676">
        <f>industrie!N22</f>
        <v>0</v>
      </c>
      <c r="P43" s="676">
        <f>industrie!O22</f>
        <v>0</v>
      </c>
      <c r="Q43" s="751">
        <f>industrie!P22</f>
        <v>0</v>
      </c>
      <c r="R43" s="831">
        <f t="shared" ca="1" si="4"/>
        <v>13323.326350356871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21160.331068348874</v>
      </c>
      <c r="D46" s="709">
        <f t="shared" ref="D46:Q46" ca="1" si="5">SUM(D39:D45)</f>
        <v>7.6386554621848752</v>
      </c>
      <c r="E46" s="709">
        <f t="shared" ca="1" si="5"/>
        <v>27185.456288602207</v>
      </c>
      <c r="F46" s="709">
        <f t="shared" si="5"/>
        <v>328.76172348550972</v>
      </c>
      <c r="G46" s="709">
        <f t="shared" ca="1" si="5"/>
        <v>10949.491975115287</v>
      </c>
      <c r="H46" s="709">
        <f t="shared" si="5"/>
        <v>0</v>
      </c>
      <c r="I46" s="709">
        <f t="shared" si="5"/>
        <v>0</v>
      </c>
      <c r="J46" s="709">
        <f t="shared" si="5"/>
        <v>0</v>
      </c>
      <c r="K46" s="709">
        <f t="shared" si="5"/>
        <v>244.62226414414644</v>
      </c>
      <c r="L46" s="709">
        <f t="shared" si="5"/>
        <v>0</v>
      </c>
      <c r="M46" s="709">
        <f t="shared" ca="1" si="5"/>
        <v>0</v>
      </c>
      <c r="N46" s="709">
        <f t="shared" si="5"/>
        <v>0</v>
      </c>
      <c r="O46" s="709">
        <f t="shared" ca="1" si="5"/>
        <v>0</v>
      </c>
      <c r="P46" s="709">
        <f t="shared" si="5"/>
        <v>0</v>
      </c>
      <c r="Q46" s="709">
        <f t="shared" si="5"/>
        <v>0</v>
      </c>
      <c r="R46" s="709">
        <f ca="1">SUM(R39:R45)</f>
        <v>59876.301975158218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233.63110520055679</v>
      </c>
      <c r="D49" s="676">
        <f ca="1">transport!C58</f>
        <v>0</v>
      </c>
      <c r="E49" s="676">
        <f>transport!D58</f>
        <v>0</v>
      </c>
      <c r="F49" s="676">
        <f>transport!E58</f>
        <v>0</v>
      </c>
      <c r="G49" s="676">
        <f>transport!F58</f>
        <v>0</v>
      </c>
      <c r="H49" s="676">
        <f>transport!G58</f>
        <v>306.42430370820813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540.05540890876489</v>
      </c>
    </row>
    <row r="50" spans="1:18">
      <c r="A50" s="807" t="s">
        <v>302</v>
      </c>
      <c r="B50" s="817"/>
      <c r="C50" s="986">
        <f ca="1">transport!B18</f>
        <v>1.7288713329231826</v>
      </c>
      <c r="D50" s="986">
        <f>transport!C18</f>
        <v>0</v>
      </c>
      <c r="E50" s="986">
        <f>transport!D18</f>
        <v>1.7529311381776078</v>
      </c>
      <c r="F50" s="986">
        <f>transport!E18</f>
        <v>147.60747486111933</v>
      </c>
      <c r="G50" s="986">
        <f>transport!F18</f>
        <v>0</v>
      </c>
      <c r="H50" s="986">
        <f>transport!G18</f>
        <v>50235.507681269475</v>
      </c>
      <c r="I50" s="986">
        <f>transport!H18</f>
        <v>5440.729947726024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55827.326906327718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235.35997653347997</v>
      </c>
      <c r="D52" s="709">
        <f t="shared" ref="D52:Q52" ca="1" si="6">SUM(D48:D51)</f>
        <v>0</v>
      </c>
      <c r="E52" s="709">
        <f t="shared" si="6"/>
        <v>1.7529311381776078</v>
      </c>
      <c r="F52" s="709">
        <f t="shared" si="6"/>
        <v>147.60747486111933</v>
      </c>
      <c r="G52" s="709">
        <f t="shared" si="6"/>
        <v>0</v>
      </c>
      <c r="H52" s="709">
        <f t="shared" si="6"/>
        <v>50541.93198497768</v>
      </c>
      <c r="I52" s="709">
        <f t="shared" si="6"/>
        <v>5440.729947726024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56367.382315236486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248.84631567514796</v>
      </c>
      <c r="D54" s="986">
        <f ca="1">+landbouw!C12</f>
        <v>10490.929411764706</v>
      </c>
      <c r="E54" s="986">
        <f>+landbouw!D12</f>
        <v>0</v>
      </c>
      <c r="F54" s="986">
        <f>+landbouw!E12</f>
        <v>2.4465622304268293</v>
      </c>
      <c r="G54" s="986">
        <f>+landbouw!F12</f>
        <v>996.83004985132925</v>
      </c>
      <c r="H54" s="986">
        <f>+landbouw!G12</f>
        <v>0</v>
      </c>
      <c r="I54" s="986">
        <f>+landbouw!H12</f>
        <v>0</v>
      </c>
      <c r="J54" s="986">
        <f>+landbouw!I12</f>
        <v>0</v>
      </c>
      <c r="K54" s="986">
        <f>+landbouw!J12</f>
        <v>50.10010728402208</v>
      </c>
      <c r="L54" s="986">
        <f>+landbouw!K12</f>
        <v>0</v>
      </c>
      <c r="M54" s="986">
        <f>+landbouw!L12</f>
        <v>0</v>
      </c>
      <c r="N54" s="986">
        <f>+landbouw!M12</f>
        <v>0</v>
      </c>
      <c r="O54" s="986">
        <f>+landbouw!N12</f>
        <v>0</v>
      </c>
      <c r="P54" s="986">
        <f>+landbouw!O12</f>
        <v>0</v>
      </c>
      <c r="Q54" s="987">
        <f>+landbouw!P12</f>
        <v>0</v>
      </c>
      <c r="R54" s="708">
        <f ca="1">SUM(C54:Q54)</f>
        <v>11789.152446805632</v>
      </c>
    </row>
    <row r="55" spans="1:18" ht="15" thickBot="1">
      <c r="A55" s="807" t="s">
        <v>879</v>
      </c>
      <c r="B55" s="817"/>
      <c r="C55" s="986">
        <f ca="1">C25*'EF ele_warmte'!B12</f>
        <v>444.70674350435718</v>
      </c>
      <c r="D55" s="986"/>
      <c r="E55" s="986">
        <f>E25*EF_CO2_aardgas</f>
        <v>582.14628517030656</v>
      </c>
      <c r="F55" s="986"/>
      <c r="G55" s="986"/>
      <c r="H55" s="986"/>
      <c r="I55" s="986"/>
      <c r="J55" s="986"/>
      <c r="K55" s="986"/>
      <c r="L55" s="986"/>
      <c r="M55" s="986"/>
      <c r="N55" s="986"/>
      <c r="O55" s="986"/>
      <c r="P55" s="986"/>
      <c r="Q55" s="987"/>
      <c r="R55" s="708">
        <f ca="1">SUM(C55:Q55)</f>
        <v>1026.8530286746636</v>
      </c>
    </row>
    <row r="56" spans="1:18" ht="15.75" thickBot="1">
      <c r="A56" s="805" t="s">
        <v>880</v>
      </c>
      <c r="B56" s="818"/>
      <c r="C56" s="709">
        <f ca="1">SUM(C54:C55)</f>
        <v>693.55305917950511</v>
      </c>
      <c r="D56" s="709">
        <f t="shared" ref="D56:Q56" ca="1" si="7">SUM(D54:D55)</f>
        <v>10490.929411764706</v>
      </c>
      <c r="E56" s="709">
        <f t="shared" si="7"/>
        <v>582.14628517030656</v>
      </c>
      <c r="F56" s="709">
        <f t="shared" si="7"/>
        <v>2.4465622304268293</v>
      </c>
      <c r="G56" s="709">
        <f t="shared" si="7"/>
        <v>996.83004985132925</v>
      </c>
      <c r="H56" s="709">
        <f t="shared" si="7"/>
        <v>0</v>
      </c>
      <c r="I56" s="709">
        <f t="shared" si="7"/>
        <v>0</v>
      </c>
      <c r="J56" s="709">
        <f t="shared" si="7"/>
        <v>0</v>
      </c>
      <c r="K56" s="709">
        <f t="shared" si="7"/>
        <v>50.10010728402208</v>
      </c>
      <c r="L56" s="709">
        <f t="shared" si="7"/>
        <v>0</v>
      </c>
      <c r="M56" s="709">
        <f t="shared" si="7"/>
        <v>0</v>
      </c>
      <c r="N56" s="709">
        <f t="shared" si="7"/>
        <v>0</v>
      </c>
      <c r="O56" s="709">
        <f t="shared" si="7"/>
        <v>0</v>
      </c>
      <c r="P56" s="709">
        <f t="shared" si="7"/>
        <v>0</v>
      </c>
      <c r="Q56" s="710">
        <f t="shared" si="7"/>
        <v>0</v>
      </c>
      <c r="R56" s="711">
        <f ca="1">SUM(R54:R55)</f>
        <v>12816.005475480295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22089.244104061861</v>
      </c>
      <c r="D61" s="717">
        <f t="shared" ref="D61:Q61" ca="1" si="8">D46+D52+D56</f>
        <v>10498.56806722689</v>
      </c>
      <c r="E61" s="717">
        <f t="shared" ca="1" si="8"/>
        <v>27769.355504910691</v>
      </c>
      <c r="F61" s="717">
        <f t="shared" si="8"/>
        <v>478.81576057705587</v>
      </c>
      <c r="G61" s="717">
        <f t="shared" ca="1" si="8"/>
        <v>11946.322024966616</v>
      </c>
      <c r="H61" s="717">
        <f t="shared" si="8"/>
        <v>50541.93198497768</v>
      </c>
      <c r="I61" s="717">
        <f t="shared" si="8"/>
        <v>5440.729947726024</v>
      </c>
      <c r="J61" s="717">
        <f t="shared" si="8"/>
        <v>0</v>
      </c>
      <c r="K61" s="717">
        <f t="shared" si="8"/>
        <v>294.72237142816851</v>
      </c>
      <c r="L61" s="717">
        <f t="shared" si="8"/>
        <v>0</v>
      </c>
      <c r="M61" s="717">
        <f t="shared" ca="1" si="8"/>
        <v>0</v>
      </c>
      <c r="N61" s="717">
        <f t="shared" si="8"/>
        <v>0</v>
      </c>
      <c r="O61" s="717">
        <f t="shared" ca="1" si="8"/>
        <v>0</v>
      </c>
      <c r="P61" s="717">
        <f t="shared" si="8"/>
        <v>0</v>
      </c>
      <c r="Q61" s="717">
        <f t="shared" si="8"/>
        <v>0</v>
      </c>
      <c r="R61" s="717">
        <f ca="1">R46+R52+R56</f>
        <v>129059.68976587501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0.21751168734655374</v>
      </c>
      <c r="D63" s="761">
        <f t="shared" ca="1" si="9"/>
        <v>0.23764705882352941</v>
      </c>
      <c r="E63" s="988">
        <f t="shared" ca="1" si="9"/>
        <v>0.20200000000000001</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3932.338225824109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30924</v>
      </c>
      <c r="D76" s="998">
        <f>'lokale energieproductie'!C8</f>
        <v>36381.176470588238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7348.9976470588244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3932.338225824109</v>
      </c>
      <c r="C78" s="732">
        <f>SUM(C72:C77)</f>
        <v>30924</v>
      </c>
      <c r="D78" s="733">
        <f t="shared" ref="D78:H78" si="10">SUM(D76:D77)</f>
        <v>36381.176470588238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7348.9976470588244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44177.142857142855</v>
      </c>
      <c r="D87" s="754">
        <f>'lokale energieproductie'!C17</f>
        <v>51973.10924369748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10498.568067226892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44177.142857142855</v>
      </c>
      <c r="D90" s="732">
        <f t="shared" ref="D90:H90" si="12">SUM(D87:D89)</f>
        <v>51973.10924369748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10498.568067226892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33071.415394542186</v>
      </c>
      <c r="C4" s="449">
        <f>huishoudens!C8</f>
        <v>0</v>
      </c>
      <c r="D4" s="449">
        <f>huishoudens!D8</f>
        <v>96443.477295670338</v>
      </c>
      <c r="E4" s="449">
        <f>huishoudens!E8</f>
        <v>913.64507478926828</v>
      </c>
      <c r="F4" s="449">
        <f>huishoudens!F8</f>
        <v>27854.385748360142</v>
      </c>
      <c r="G4" s="449">
        <f>huishoudens!G8</f>
        <v>0</v>
      </c>
      <c r="H4" s="449">
        <f>huishoudens!H8</f>
        <v>0</v>
      </c>
      <c r="I4" s="449">
        <f>huishoudens!I8</f>
        <v>0</v>
      </c>
      <c r="J4" s="449">
        <f>huishoudens!J8</f>
        <v>505.40812365932334</v>
      </c>
      <c r="K4" s="449">
        <f>huishoudens!K8</f>
        <v>0</v>
      </c>
      <c r="L4" s="449">
        <f>huishoudens!L8</f>
        <v>0</v>
      </c>
      <c r="M4" s="449">
        <f>huishoudens!M8</f>
        <v>0</v>
      </c>
      <c r="N4" s="449">
        <f>huishoudens!N8</f>
        <v>10745.860052085685</v>
      </c>
      <c r="O4" s="449">
        <f>huishoudens!O8</f>
        <v>76.603333333333339</v>
      </c>
      <c r="P4" s="450">
        <f>huishoudens!P8</f>
        <v>95.333333333333343</v>
      </c>
      <c r="Q4" s="451">
        <f>SUM(B4:P4)</f>
        <v>169706.1283557736</v>
      </c>
    </row>
    <row r="5" spans="1:17">
      <c r="A5" s="448" t="s">
        <v>155</v>
      </c>
      <c r="B5" s="449">
        <f ca="1">tertiair!B16</f>
        <v>23735.655051180023</v>
      </c>
      <c r="C5" s="449">
        <f ca="1">tertiair!C16</f>
        <v>32.142857142857146</v>
      </c>
      <c r="D5" s="449">
        <f ca="1">tertiair!D16</f>
        <v>26320.642850833847</v>
      </c>
      <c r="E5" s="449">
        <f>tertiair!E16</f>
        <v>192.69310745770116</v>
      </c>
      <c r="F5" s="449">
        <f ca="1">tertiair!F16</f>
        <v>4671.2142852724828</v>
      </c>
      <c r="G5" s="449">
        <f>tertiair!G16</f>
        <v>0</v>
      </c>
      <c r="H5" s="449">
        <f>tertiair!H16</f>
        <v>0</v>
      </c>
      <c r="I5" s="449">
        <f>tertiair!I16</f>
        <v>0</v>
      </c>
      <c r="J5" s="449">
        <f>tertiair!J16</f>
        <v>0</v>
      </c>
      <c r="K5" s="449">
        <f>tertiair!K16</f>
        <v>0</v>
      </c>
      <c r="L5" s="449">
        <f ca="1">tertiair!L16</f>
        <v>0</v>
      </c>
      <c r="M5" s="449">
        <f>tertiair!M16</f>
        <v>0</v>
      </c>
      <c r="N5" s="449">
        <f ca="1">tertiair!N16</f>
        <v>2014.7395336103443</v>
      </c>
      <c r="O5" s="449">
        <f>tertiair!O16</f>
        <v>0</v>
      </c>
      <c r="P5" s="450">
        <f>tertiair!P16</f>
        <v>19.066666666666666</v>
      </c>
      <c r="Q5" s="448">
        <f t="shared" ref="Q5:Q14" ca="1" si="0">SUM(B5:P5)</f>
        <v>56986.154352163918</v>
      </c>
    </row>
    <row r="6" spans="1:17">
      <c r="A6" s="448" t="s">
        <v>193</v>
      </c>
      <c r="B6" s="449">
        <f>'openbare verlichting'!B8</f>
        <v>1270.7110368556</v>
      </c>
      <c r="C6" s="449"/>
      <c r="D6" s="449"/>
      <c r="E6" s="449"/>
      <c r="F6" s="449"/>
      <c r="G6" s="449"/>
      <c r="H6" s="449"/>
      <c r="I6" s="449"/>
      <c r="J6" s="449"/>
      <c r="K6" s="449"/>
      <c r="L6" s="449"/>
      <c r="M6" s="449"/>
      <c r="N6" s="449"/>
      <c r="O6" s="449"/>
      <c r="P6" s="450"/>
      <c r="Q6" s="448">
        <f t="shared" si="0"/>
        <v>1270.7110368556</v>
      </c>
    </row>
    <row r="7" spans="1:17">
      <c r="A7" s="448" t="s">
        <v>111</v>
      </c>
      <c r="B7" s="449">
        <f>landbouw!B8</f>
        <v>1144.0595156556801</v>
      </c>
      <c r="C7" s="449">
        <f>landbouw!C8</f>
        <v>44145</v>
      </c>
      <c r="D7" s="449">
        <f>landbouw!D8</f>
        <v>0</v>
      </c>
      <c r="E7" s="449">
        <f>landbouw!E8</f>
        <v>10.777807182497044</v>
      </c>
      <c r="F7" s="449">
        <f>landbouw!F8</f>
        <v>3733.4458795929932</v>
      </c>
      <c r="G7" s="449">
        <f>landbouw!G8</f>
        <v>0</v>
      </c>
      <c r="H7" s="449">
        <f>landbouw!H8</f>
        <v>0</v>
      </c>
      <c r="I7" s="449">
        <f>landbouw!I8</f>
        <v>0</v>
      </c>
      <c r="J7" s="449">
        <f>landbouw!J8</f>
        <v>141.52572679102283</v>
      </c>
      <c r="K7" s="449">
        <f>landbouw!K8</f>
        <v>0</v>
      </c>
      <c r="L7" s="449">
        <f>landbouw!L8</f>
        <v>0</v>
      </c>
      <c r="M7" s="449">
        <f>landbouw!M8</f>
        <v>0</v>
      </c>
      <c r="N7" s="449">
        <f>landbouw!N8</f>
        <v>0</v>
      </c>
      <c r="O7" s="449">
        <f>landbouw!O8</f>
        <v>0</v>
      </c>
      <c r="P7" s="450">
        <f>landbouw!P8</f>
        <v>0</v>
      </c>
      <c r="Q7" s="448">
        <f t="shared" si="0"/>
        <v>49174.808929222185</v>
      </c>
    </row>
    <row r="8" spans="1:17">
      <c r="A8" s="448" t="s">
        <v>671</v>
      </c>
      <c r="B8" s="449">
        <f>industrie!B18</f>
        <v>39205.869462738352</v>
      </c>
      <c r="C8" s="449">
        <f>industrie!C18</f>
        <v>0</v>
      </c>
      <c r="D8" s="449">
        <f>industrie!D18</f>
        <v>11817.346628754265</v>
      </c>
      <c r="E8" s="449">
        <f>industrie!E18</f>
        <v>341.95134852620112</v>
      </c>
      <c r="F8" s="449">
        <f>industrie!F18</f>
        <v>8483.7332064995317</v>
      </c>
      <c r="G8" s="449">
        <f>industrie!G18</f>
        <v>0</v>
      </c>
      <c r="H8" s="449">
        <f>industrie!H18</f>
        <v>0</v>
      </c>
      <c r="I8" s="449">
        <f>industrie!I18</f>
        <v>0</v>
      </c>
      <c r="J8" s="449">
        <f>industrie!J18</f>
        <v>185.61522138063839</v>
      </c>
      <c r="K8" s="449">
        <f>industrie!K18</f>
        <v>0</v>
      </c>
      <c r="L8" s="449">
        <f>industrie!L18</f>
        <v>0</v>
      </c>
      <c r="M8" s="449">
        <f>industrie!M18</f>
        <v>0</v>
      </c>
      <c r="N8" s="449">
        <f>industrie!N18</f>
        <v>1179.2563371681997</v>
      </c>
      <c r="O8" s="449">
        <f>industrie!O18</f>
        <v>0</v>
      </c>
      <c r="P8" s="450">
        <f>industrie!P18</f>
        <v>0</v>
      </c>
      <c r="Q8" s="448">
        <f t="shared" si="0"/>
        <v>61213.772205067187</v>
      </c>
    </row>
    <row r="9" spans="1:17" s="454" customFormat="1">
      <c r="A9" s="452" t="s">
        <v>568</v>
      </c>
      <c r="B9" s="453">
        <f>transport!B14</f>
        <v>7.9484066075430366</v>
      </c>
      <c r="C9" s="453">
        <f>transport!C14</f>
        <v>0</v>
      </c>
      <c r="D9" s="453">
        <f>transport!D14</f>
        <v>8.6778769216713254</v>
      </c>
      <c r="E9" s="453">
        <f>transport!E14</f>
        <v>650.25319322078997</v>
      </c>
      <c r="F9" s="453">
        <f>transport!F14</f>
        <v>0</v>
      </c>
      <c r="G9" s="453">
        <f>transport!G14</f>
        <v>188147.96884370589</v>
      </c>
      <c r="H9" s="453">
        <f>transport!H14</f>
        <v>21850.321075204916</v>
      </c>
      <c r="I9" s="453">
        <f>transport!I14</f>
        <v>0</v>
      </c>
      <c r="J9" s="453">
        <f>transport!J14</f>
        <v>0</v>
      </c>
      <c r="K9" s="453">
        <f>transport!K14</f>
        <v>0</v>
      </c>
      <c r="L9" s="453">
        <f>transport!L14</f>
        <v>0</v>
      </c>
      <c r="M9" s="453">
        <f>transport!M14</f>
        <v>9372.622305314042</v>
      </c>
      <c r="N9" s="453">
        <f>transport!N14</f>
        <v>0</v>
      </c>
      <c r="O9" s="453">
        <f>transport!O14</f>
        <v>0</v>
      </c>
      <c r="P9" s="453">
        <f>transport!P14</f>
        <v>0</v>
      </c>
      <c r="Q9" s="452">
        <f>SUM(B9:P9)</f>
        <v>220037.79170097486</v>
      </c>
    </row>
    <row r="10" spans="1:17">
      <c r="A10" s="448" t="s">
        <v>558</v>
      </c>
      <c r="B10" s="449">
        <f>transport!B54</f>
        <v>1074.1082837922202</v>
      </c>
      <c r="C10" s="449">
        <f>transport!C54</f>
        <v>0</v>
      </c>
      <c r="D10" s="449">
        <f>transport!D54</f>
        <v>0</v>
      </c>
      <c r="E10" s="449">
        <f>transport!E54</f>
        <v>0</v>
      </c>
      <c r="F10" s="449">
        <f>transport!F54</f>
        <v>0</v>
      </c>
      <c r="G10" s="449">
        <f>transport!G54</f>
        <v>1147.656568195536</v>
      </c>
      <c r="H10" s="449">
        <f>transport!H54</f>
        <v>0</v>
      </c>
      <c r="I10" s="449">
        <f>transport!I54</f>
        <v>0</v>
      </c>
      <c r="J10" s="449">
        <f>transport!J54</f>
        <v>0</v>
      </c>
      <c r="K10" s="449">
        <f>transport!K54</f>
        <v>0</v>
      </c>
      <c r="L10" s="449">
        <f>transport!L54</f>
        <v>0</v>
      </c>
      <c r="M10" s="449">
        <f>transport!M54</f>
        <v>50.725197991384178</v>
      </c>
      <c r="N10" s="449">
        <f>transport!N54</f>
        <v>0</v>
      </c>
      <c r="O10" s="449">
        <f>transport!O54</f>
        <v>0</v>
      </c>
      <c r="P10" s="450">
        <f>transport!P54</f>
        <v>0</v>
      </c>
      <c r="Q10" s="448">
        <f t="shared" si="0"/>
        <v>2272.4900499791402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2044.51884369699</v>
      </c>
      <c r="C14" s="456"/>
      <c r="D14" s="456">
        <f>'SEAP template'!E25</f>
        <v>2881.9123028232998</v>
      </c>
      <c r="E14" s="456"/>
      <c r="F14" s="456"/>
      <c r="G14" s="456"/>
      <c r="H14" s="456"/>
      <c r="I14" s="456"/>
      <c r="J14" s="456"/>
      <c r="K14" s="456"/>
      <c r="L14" s="456"/>
      <c r="M14" s="456"/>
      <c r="N14" s="456"/>
      <c r="O14" s="456"/>
      <c r="P14" s="457"/>
      <c r="Q14" s="448">
        <f t="shared" si="0"/>
        <v>4926.43114652029</v>
      </c>
    </row>
    <row r="15" spans="1:17" s="461" customFormat="1">
      <c r="A15" s="458" t="s">
        <v>562</v>
      </c>
      <c r="B15" s="459">
        <f ca="1">SUM(B4:B14)</f>
        <v>101554.28599506858</v>
      </c>
      <c r="C15" s="459">
        <f t="shared" ref="C15:Q15" ca="1" si="1">SUM(C4:C14)</f>
        <v>44177.142857142855</v>
      </c>
      <c r="D15" s="459">
        <f t="shared" ca="1" si="1"/>
        <v>137472.05695500341</v>
      </c>
      <c r="E15" s="459">
        <f t="shared" si="1"/>
        <v>2109.3205311764577</v>
      </c>
      <c r="F15" s="459">
        <f t="shared" ca="1" si="1"/>
        <v>44742.77911972515</v>
      </c>
      <c r="G15" s="459">
        <f t="shared" si="1"/>
        <v>189295.62541190142</v>
      </c>
      <c r="H15" s="459">
        <f t="shared" si="1"/>
        <v>21850.321075204916</v>
      </c>
      <c r="I15" s="459">
        <f t="shared" si="1"/>
        <v>0</v>
      </c>
      <c r="J15" s="459">
        <f t="shared" si="1"/>
        <v>832.54907183098453</v>
      </c>
      <c r="K15" s="459">
        <f t="shared" si="1"/>
        <v>0</v>
      </c>
      <c r="L15" s="459">
        <f t="shared" ca="1" si="1"/>
        <v>0</v>
      </c>
      <c r="M15" s="459">
        <f t="shared" si="1"/>
        <v>9423.3475033054256</v>
      </c>
      <c r="N15" s="459">
        <f t="shared" ca="1" si="1"/>
        <v>13939.855922864228</v>
      </c>
      <c r="O15" s="459">
        <f t="shared" si="1"/>
        <v>76.603333333333339</v>
      </c>
      <c r="P15" s="459">
        <f t="shared" si="1"/>
        <v>114.4</v>
      </c>
      <c r="Q15" s="459">
        <f t="shared" ca="1" si="1"/>
        <v>565588.28777655691</v>
      </c>
    </row>
    <row r="17" spans="1:17">
      <c r="A17" s="462" t="s">
        <v>563</v>
      </c>
      <c r="B17" s="766">
        <f ca="1">huishoudens!B10</f>
        <v>0.21751168734655371</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7193.4193654056635</v>
      </c>
      <c r="C22" s="449">
        <f t="shared" ref="C22:C32" ca="1" si="3">C4*$C$17</f>
        <v>0</v>
      </c>
      <c r="D22" s="449">
        <f t="shared" ref="D22:D32" si="4">D4*$D$17</f>
        <v>19481.582413725409</v>
      </c>
      <c r="E22" s="449">
        <f t="shared" ref="E22:E32" si="5">E4*$E$17</f>
        <v>207.3974319771639</v>
      </c>
      <c r="F22" s="449">
        <f t="shared" ref="F22:F32" si="6">F4*$F$17</f>
        <v>7437.1209948121586</v>
      </c>
      <c r="G22" s="449">
        <f t="shared" ref="G22:G32" si="7">G4*$G$17</f>
        <v>0</v>
      </c>
      <c r="H22" s="449">
        <f t="shared" ref="H22:H32" si="8">H4*$H$17</f>
        <v>0</v>
      </c>
      <c r="I22" s="449">
        <f t="shared" ref="I22:I32" si="9">I4*$I$17</f>
        <v>0</v>
      </c>
      <c r="J22" s="449">
        <f t="shared" ref="J22:J32" si="10">J4*$J$17</f>
        <v>178.91447577540046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34498.434681695799</v>
      </c>
    </row>
    <row r="23" spans="1:17">
      <c r="A23" s="448" t="s">
        <v>155</v>
      </c>
      <c r="B23" s="449">
        <f t="shared" ca="1" si="2"/>
        <v>5162.7823804579175</v>
      </c>
      <c r="C23" s="449">
        <f t="shared" ca="1" si="3"/>
        <v>7.6386554621848752</v>
      </c>
      <c r="D23" s="449">
        <f t="shared" ca="1" si="4"/>
        <v>5316.7698558684369</v>
      </c>
      <c r="E23" s="449">
        <f t="shared" si="5"/>
        <v>43.741335392898165</v>
      </c>
      <c r="F23" s="449">
        <f t="shared" ca="1" si="6"/>
        <v>1247.214214167753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11778.14644134919</v>
      </c>
    </row>
    <row r="24" spans="1:17">
      <c r="A24" s="448" t="s">
        <v>193</v>
      </c>
      <c r="B24" s="449">
        <f t="shared" ca="1" si="2"/>
        <v>276.39450175635034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276.39450175635034</v>
      </c>
    </row>
    <row r="25" spans="1:17">
      <c r="A25" s="448" t="s">
        <v>111</v>
      </c>
      <c r="B25" s="449">
        <f t="shared" ca="1" si="2"/>
        <v>248.84631567514796</v>
      </c>
      <c r="C25" s="449">
        <f t="shared" ca="1" si="3"/>
        <v>10490.929411764706</v>
      </c>
      <c r="D25" s="449">
        <f t="shared" si="4"/>
        <v>0</v>
      </c>
      <c r="E25" s="449">
        <f t="shared" si="5"/>
        <v>2.4465622304268293</v>
      </c>
      <c r="F25" s="449">
        <f t="shared" si="6"/>
        <v>996.83004985132925</v>
      </c>
      <c r="G25" s="449">
        <f t="shared" si="7"/>
        <v>0</v>
      </c>
      <c r="H25" s="449">
        <f t="shared" si="8"/>
        <v>0</v>
      </c>
      <c r="I25" s="449">
        <f t="shared" si="9"/>
        <v>0</v>
      </c>
      <c r="J25" s="449">
        <f t="shared" si="10"/>
        <v>50.10010728402208</v>
      </c>
      <c r="K25" s="449">
        <f t="shared" si="11"/>
        <v>0</v>
      </c>
      <c r="L25" s="449">
        <f t="shared" si="12"/>
        <v>0</v>
      </c>
      <c r="M25" s="449">
        <f t="shared" si="13"/>
        <v>0</v>
      </c>
      <c r="N25" s="449">
        <f t="shared" si="14"/>
        <v>0</v>
      </c>
      <c r="O25" s="449">
        <f t="shared" si="15"/>
        <v>0</v>
      </c>
      <c r="P25" s="450">
        <f t="shared" si="16"/>
        <v>0</v>
      </c>
      <c r="Q25" s="448">
        <f t="shared" ca="1" si="17"/>
        <v>11789.152446805632</v>
      </c>
    </row>
    <row r="26" spans="1:17">
      <c r="A26" s="448" t="s">
        <v>671</v>
      </c>
      <c r="B26" s="449">
        <f t="shared" ca="1" si="2"/>
        <v>8527.7348207289415</v>
      </c>
      <c r="C26" s="449">
        <f t="shared" ca="1" si="3"/>
        <v>0</v>
      </c>
      <c r="D26" s="449">
        <f t="shared" si="4"/>
        <v>2387.1040190083618</v>
      </c>
      <c r="E26" s="449">
        <f t="shared" si="5"/>
        <v>77.62295611544765</v>
      </c>
      <c r="F26" s="449">
        <f t="shared" si="6"/>
        <v>2265.1567661353752</v>
      </c>
      <c r="G26" s="449">
        <f t="shared" si="7"/>
        <v>0</v>
      </c>
      <c r="H26" s="449">
        <f t="shared" si="8"/>
        <v>0</v>
      </c>
      <c r="I26" s="449">
        <f t="shared" si="9"/>
        <v>0</v>
      </c>
      <c r="J26" s="449">
        <f t="shared" si="10"/>
        <v>65.70778836874598</v>
      </c>
      <c r="K26" s="449">
        <f t="shared" si="11"/>
        <v>0</v>
      </c>
      <c r="L26" s="449">
        <f t="shared" si="12"/>
        <v>0</v>
      </c>
      <c r="M26" s="449">
        <f t="shared" si="13"/>
        <v>0</v>
      </c>
      <c r="N26" s="449">
        <f t="shared" si="14"/>
        <v>0</v>
      </c>
      <c r="O26" s="449">
        <f t="shared" si="15"/>
        <v>0</v>
      </c>
      <c r="P26" s="450">
        <f t="shared" si="16"/>
        <v>0</v>
      </c>
      <c r="Q26" s="448">
        <f t="shared" ca="1" si="17"/>
        <v>13323.326350356871</v>
      </c>
    </row>
    <row r="27" spans="1:17" s="454" customFormat="1">
      <c r="A27" s="452" t="s">
        <v>568</v>
      </c>
      <c r="B27" s="760">
        <f t="shared" ca="1" si="2"/>
        <v>1.7288713329231826</v>
      </c>
      <c r="C27" s="453">
        <f t="shared" ca="1" si="3"/>
        <v>0</v>
      </c>
      <c r="D27" s="453">
        <f t="shared" si="4"/>
        <v>1.7529311381776078</v>
      </c>
      <c r="E27" s="453">
        <f t="shared" si="5"/>
        <v>147.60747486111933</v>
      </c>
      <c r="F27" s="453">
        <f t="shared" si="6"/>
        <v>0</v>
      </c>
      <c r="G27" s="453">
        <f t="shared" si="7"/>
        <v>50235.507681269475</v>
      </c>
      <c r="H27" s="453">
        <f t="shared" si="8"/>
        <v>5440.729947726024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55827.326906327718</v>
      </c>
    </row>
    <row r="28" spans="1:17">
      <c r="A28" s="448" t="s">
        <v>558</v>
      </c>
      <c r="B28" s="449">
        <f t="shared" ca="1" si="2"/>
        <v>233.63110520055679</v>
      </c>
      <c r="C28" s="449">
        <f t="shared" ca="1" si="3"/>
        <v>0</v>
      </c>
      <c r="D28" s="449">
        <f t="shared" si="4"/>
        <v>0</v>
      </c>
      <c r="E28" s="449">
        <f t="shared" si="5"/>
        <v>0</v>
      </c>
      <c r="F28" s="449">
        <f t="shared" si="6"/>
        <v>0</v>
      </c>
      <c r="G28" s="449">
        <f t="shared" si="7"/>
        <v>306.42430370820813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540.05540890876489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444.70674350435718</v>
      </c>
      <c r="C32" s="449">
        <f t="shared" ca="1" si="3"/>
        <v>0</v>
      </c>
      <c r="D32" s="449">
        <f t="shared" si="4"/>
        <v>582.14628517030656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1026.8530286746636</v>
      </c>
    </row>
    <row r="33" spans="1:17" s="461" customFormat="1">
      <c r="A33" s="458" t="s">
        <v>562</v>
      </c>
      <c r="B33" s="459">
        <f ca="1">SUM(B22:B32)</f>
        <v>22089.244104061858</v>
      </c>
      <c r="C33" s="459">
        <f t="shared" ref="C33:Q33" ca="1" si="18">SUM(C22:C32)</f>
        <v>10498.56806722689</v>
      </c>
      <c r="D33" s="459">
        <f t="shared" ca="1" si="18"/>
        <v>27769.355504910691</v>
      </c>
      <c r="E33" s="459">
        <f t="shared" si="18"/>
        <v>478.81576057705587</v>
      </c>
      <c r="F33" s="459">
        <f t="shared" ca="1" si="18"/>
        <v>11946.322024966616</v>
      </c>
      <c r="G33" s="459">
        <f t="shared" si="18"/>
        <v>50541.93198497768</v>
      </c>
      <c r="H33" s="459">
        <f t="shared" si="18"/>
        <v>5440.729947726024</v>
      </c>
      <c r="I33" s="459">
        <f t="shared" si="18"/>
        <v>0</v>
      </c>
      <c r="J33" s="459">
        <f t="shared" si="18"/>
        <v>294.72237142816851</v>
      </c>
      <c r="K33" s="459">
        <f t="shared" si="18"/>
        <v>0</v>
      </c>
      <c r="L33" s="459">
        <f t="shared" ca="1" si="18"/>
        <v>0</v>
      </c>
      <c r="M33" s="459">
        <f t="shared" si="18"/>
        <v>0</v>
      </c>
      <c r="N33" s="459">
        <f t="shared" ca="1" si="18"/>
        <v>0</v>
      </c>
      <c r="O33" s="459">
        <f t="shared" si="18"/>
        <v>0</v>
      </c>
      <c r="P33" s="459">
        <f t="shared" si="18"/>
        <v>0</v>
      </c>
      <c r="Q33" s="459">
        <f t="shared" ca="1" si="18"/>
        <v>129059.68976587501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3932.338225824109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30924</v>
      </c>
      <c r="D8" s="1015">
        <f>'SEAP template'!D76</f>
        <v>36381.176470588238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7348.9976470588244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3932.338225824109</v>
      </c>
      <c r="C10" s="1019">
        <f>SUM(C4:C9)</f>
        <v>30924</v>
      </c>
      <c r="D10" s="1019">
        <f t="shared" ref="D10:H10" si="0">SUM(D8:D9)</f>
        <v>36381.176470588238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7348.9976470588244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0.21751168734655371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44177.142857142855</v>
      </c>
      <c r="D17" s="1016">
        <f>'SEAP template'!D87</f>
        <v>51973.10924369748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10498.568067226892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44177.142857142855</v>
      </c>
      <c r="D20" s="1019">
        <f t="shared" ref="D20:H20" si="2">SUM(D17:D19)</f>
        <v>51973.10924369748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10498.568067226892</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0.21751168734655371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0.21751168734655371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0.21751168734655371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7929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365</v>
      </c>
      <c r="C14" s="327"/>
      <c r="D14" s="327"/>
      <c r="E14" s="327"/>
      <c r="F14" s="327"/>
    </row>
    <row r="15" spans="1:6">
      <c r="A15" s="1295" t="s">
        <v>183</v>
      </c>
      <c r="B15" s="1296">
        <v>0</v>
      </c>
      <c r="C15" s="327"/>
      <c r="D15" s="327"/>
      <c r="E15" s="327"/>
      <c r="F15" s="327"/>
    </row>
    <row r="16" spans="1:6">
      <c r="A16" s="1295" t="s">
        <v>6</v>
      </c>
      <c r="B16" s="1296">
        <v>21</v>
      </c>
      <c r="C16" s="327"/>
      <c r="D16" s="327"/>
      <c r="E16" s="327"/>
      <c r="F16" s="327"/>
    </row>
    <row r="17" spans="1:6">
      <c r="A17" s="1295" t="s">
        <v>7</v>
      </c>
      <c r="B17" s="1296">
        <v>19</v>
      </c>
      <c r="C17" s="327"/>
      <c r="D17" s="327"/>
      <c r="E17" s="327"/>
      <c r="F17" s="327"/>
    </row>
    <row r="18" spans="1:6">
      <c r="A18" s="1295" t="s">
        <v>8</v>
      </c>
      <c r="B18" s="1296">
        <v>23</v>
      </c>
      <c r="C18" s="327"/>
      <c r="D18" s="327"/>
      <c r="E18" s="327"/>
      <c r="F18" s="327"/>
    </row>
    <row r="19" spans="1:6">
      <c r="A19" s="1295" t="s">
        <v>9</v>
      </c>
      <c r="B19" s="1296">
        <v>22</v>
      </c>
      <c r="C19" s="327"/>
      <c r="D19" s="327"/>
      <c r="E19" s="327"/>
      <c r="F19" s="327"/>
    </row>
    <row r="20" spans="1:6">
      <c r="A20" s="1295" t="s">
        <v>10</v>
      </c>
      <c r="B20" s="1296">
        <v>16</v>
      </c>
      <c r="C20" s="327"/>
      <c r="D20" s="327"/>
      <c r="E20" s="327"/>
      <c r="F20" s="327"/>
    </row>
    <row r="21" spans="1:6">
      <c r="A21" s="1295" t="s">
        <v>11</v>
      </c>
      <c r="B21" s="1296">
        <v>64</v>
      </c>
      <c r="C21" s="327"/>
      <c r="D21" s="327"/>
      <c r="E21" s="327"/>
      <c r="F21" s="327"/>
    </row>
    <row r="22" spans="1:6">
      <c r="A22" s="1295" t="s">
        <v>12</v>
      </c>
      <c r="B22" s="1296">
        <v>1582</v>
      </c>
      <c r="C22" s="327"/>
      <c r="D22" s="327"/>
      <c r="E22" s="327"/>
      <c r="F22" s="327"/>
    </row>
    <row r="23" spans="1:6">
      <c r="A23" s="1295" t="s">
        <v>13</v>
      </c>
      <c r="B23" s="1296">
        <v>6</v>
      </c>
      <c r="C23" s="327"/>
      <c r="D23" s="327"/>
      <c r="E23" s="327"/>
      <c r="F23" s="327"/>
    </row>
    <row r="24" spans="1:6">
      <c r="A24" s="1295" t="s">
        <v>14</v>
      </c>
      <c r="B24" s="1296">
        <v>2</v>
      </c>
      <c r="C24" s="327"/>
      <c r="D24" s="327"/>
      <c r="E24" s="327"/>
      <c r="F24" s="327"/>
    </row>
    <row r="25" spans="1:6">
      <c r="A25" s="1295" t="s">
        <v>15</v>
      </c>
      <c r="B25" s="1296">
        <v>60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4</v>
      </c>
      <c r="D36" s="1296">
        <v>46355470.203166902</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9798.3850510834</v>
      </c>
    </row>
    <row r="39" spans="1:6">
      <c r="A39" s="1295" t="s">
        <v>29</v>
      </c>
      <c r="B39" s="1295" t="s">
        <v>30</v>
      </c>
      <c r="C39" s="1296">
        <v>6492</v>
      </c>
      <c r="D39" s="1296">
        <v>106921815.18367</v>
      </c>
      <c r="E39" s="1296">
        <v>8032</v>
      </c>
      <c r="F39" s="1296">
        <v>31481683.165306799</v>
      </c>
    </row>
    <row r="40" spans="1:6">
      <c r="A40" s="1295" t="s">
        <v>29</v>
      </c>
      <c r="B40" s="1295" t="s">
        <v>28</v>
      </c>
      <c r="C40" s="1296">
        <v>0</v>
      </c>
      <c r="D40" s="1296">
        <v>0</v>
      </c>
      <c r="E40" s="1296">
        <v>0</v>
      </c>
      <c r="F40" s="1296">
        <v>0</v>
      </c>
    </row>
    <row r="41" spans="1:6">
      <c r="A41" s="1295" t="s">
        <v>31</v>
      </c>
      <c r="B41" s="1295" t="s">
        <v>32</v>
      </c>
      <c r="C41" s="1296">
        <v>32</v>
      </c>
      <c r="D41" s="1296">
        <v>2799823.1158759701</v>
      </c>
      <c r="E41" s="1296">
        <v>75</v>
      </c>
      <c r="F41" s="1296">
        <v>2293280.66751158</v>
      </c>
    </row>
    <row r="42" spans="1:6">
      <c r="A42" s="1295" t="s">
        <v>31</v>
      </c>
      <c r="B42" s="1295" t="s">
        <v>33</v>
      </c>
      <c r="C42" s="1296">
        <v>0</v>
      </c>
      <c r="D42" s="1296">
        <v>0</v>
      </c>
      <c r="E42" s="1296">
        <v>4</v>
      </c>
      <c r="F42" s="1296">
        <v>2844778.62236404</v>
      </c>
    </row>
    <row r="43" spans="1:6">
      <c r="A43" s="1295" t="s">
        <v>31</v>
      </c>
      <c r="B43" s="1295" t="s">
        <v>34</v>
      </c>
      <c r="C43" s="1296">
        <v>0</v>
      </c>
      <c r="D43" s="1296">
        <v>0</v>
      </c>
      <c r="E43" s="1296">
        <v>0</v>
      </c>
      <c r="F43" s="1296">
        <v>0</v>
      </c>
    </row>
    <row r="44" spans="1:6">
      <c r="A44" s="1295" t="s">
        <v>31</v>
      </c>
      <c r="B44" s="1295" t="s">
        <v>35</v>
      </c>
      <c r="C44" s="1296">
        <v>0</v>
      </c>
      <c r="D44" s="1296">
        <v>0</v>
      </c>
      <c r="E44" s="1296">
        <v>8</v>
      </c>
      <c r="F44" s="1296">
        <v>1329918.29042873</v>
      </c>
    </row>
    <row r="45" spans="1:6">
      <c r="A45" s="1295" t="s">
        <v>31</v>
      </c>
      <c r="B45" s="1295" t="s">
        <v>36</v>
      </c>
      <c r="C45" s="1296">
        <v>3</v>
      </c>
      <c r="D45" s="1296">
        <v>42133.154891079997</v>
      </c>
      <c r="E45" s="1296">
        <v>5</v>
      </c>
      <c r="F45" s="1296">
        <v>43790.2603533734</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23</v>
      </c>
      <c r="D48" s="1296">
        <v>9737447.0433705505</v>
      </c>
      <c r="E48" s="1296">
        <v>30</v>
      </c>
      <c r="F48" s="1296">
        <v>32473047.975824501</v>
      </c>
    </row>
    <row r="49" spans="1:6">
      <c r="A49" s="1295" t="s">
        <v>31</v>
      </c>
      <c r="B49" s="1295" t="s">
        <v>39</v>
      </c>
      <c r="C49" s="1296">
        <v>0</v>
      </c>
      <c r="D49" s="1296">
        <v>0</v>
      </c>
      <c r="E49" s="1296">
        <v>0</v>
      </c>
      <c r="F49" s="1296">
        <v>0</v>
      </c>
    </row>
    <row r="50" spans="1:6">
      <c r="A50" s="1295" t="s">
        <v>31</v>
      </c>
      <c r="B50" s="1295" t="s">
        <v>40</v>
      </c>
      <c r="C50" s="1296">
        <v>3</v>
      </c>
      <c r="D50" s="1296">
        <v>521867.89290704002</v>
      </c>
      <c r="E50" s="1296">
        <v>4</v>
      </c>
      <c r="F50" s="1296">
        <v>221053.64625612699</v>
      </c>
    </row>
    <row r="51" spans="1:6">
      <c r="A51" s="1295" t="s">
        <v>41</v>
      </c>
      <c r="B51" s="1295" t="s">
        <v>42</v>
      </c>
      <c r="C51" s="1296">
        <v>6</v>
      </c>
      <c r="D51" s="1296">
        <v>96132.636024364299</v>
      </c>
      <c r="E51" s="1296">
        <v>23</v>
      </c>
      <c r="F51" s="1296">
        <v>1144059.5156556801</v>
      </c>
    </row>
    <row r="52" spans="1:6">
      <c r="A52" s="1295" t="s">
        <v>41</v>
      </c>
      <c r="B52" s="1295" t="s">
        <v>28</v>
      </c>
      <c r="C52" s="1296">
        <v>2</v>
      </c>
      <c r="D52" s="1296">
        <v>95317622.937999994</v>
      </c>
      <c r="E52" s="1296">
        <v>0</v>
      </c>
      <c r="F52" s="1296">
        <v>0</v>
      </c>
    </row>
    <row r="53" spans="1:6">
      <c r="A53" s="1295" t="s">
        <v>43</v>
      </c>
      <c r="B53" s="1295" t="s">
        <v>44</v>
      </c>
      <c r="C53" s="1296">
        <v>137</v>
      </c>
      <c r="D53" s="1296">
        <v>2881912.3028233</v>
      </c>
      <c r="E53" s="1296">
        <v>259</v>
      </c>
      <c r="F53" s="1296">
        <v>2044518.8436969901</v>
      </c>
    </row>
    <row r="54" spans="1:6">
      <c r="A54" s="1295" t="s">
        <v>45</v>
      </c>
      <c r="B54" s="1295" t="s">
        <v>46</v>
      </c>
      <c r="C54" s="1296">
        <v>0</v>
      </c>
      <c r="D54" s="1296">
        <v>0</v>
      </c>
      <c r="E54" s="1296">
        <v>4</v>
      </c>
      <c r="F54" s="1296">
        <v>1270711.0368556001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42</v>
      </c>
      <c r="D57" s="1296">
        <v>2297809.6177612799</v>
      </c>
      <c r="E57" s="1296">
        <v>84</v>
      </c>
      <c r="F57" s="1296">
        <v>2760856.7450765301</v>
      </c>
    </row>
    <row r="58" spans="1:6">
      <c r="A58" s="1295" t="s">
        <v>48</v>
      </c>
      <c r="B58" s="1295" t="s">
        <v>50</v>
      </c>
      <c r="C58" s="1296">
        <v>12</v>
      </c>
      <c r="D58" s="1296">
        <v>247173.69658714201</v>
      </c>
      <c r="E58" s="1296">
        <v>24</v>
      </c>
      <c r="F58" s="1296">
        <v>155357.94409753301</v>
      </c>
    </row>
    <row r="59" spans="1:6">
      <c r="A59" s="1295" t="s">
        <v>48</v>
      </c>
      <c r="B59" s="1295" t="s">
        <v>51</v>
      </c>
      <c r="C59" s="1296">
        <v>96</v>
      </c>
      <c r="D59" s="1296">
        <v>6077773.5132970503</v>
      </c>
      <c r="E59" s="1296">
        <v>161</v>
      </c>
      <c r="F59" s="1296">
        <v>8019406.3121756297</v>
      </c>
    </row>
    <row r="60" spans="1:6">
      <c r="A60" s="1295" t="s">
        <v>48</v>
      </c>
      <c r="B60" s="1295" t="s">
        <v>52</v>
      </c>
      <c r="C60" s="1296">
        <v>50</v>
      </c>
      <c r="D60" s="1296">
        <v>2220822.1616400098</v>
      </c>
      <c r="E60" s="1296">
        <v>56</v>
      </c>
      <c r="F60" s="1296">
        <v>1307117.35991389</v>
      </c>
    </row>
    <row r="61" spans="1:6">
      <c r="A61" s="1295" t="s">
        <v>48</v>
      </c>
      <c r="B61" s="1295" t="s">
        <v>53</v>
      </c>
      <c r="C61" s="1296">
        <v>100</v>
      </c>
      <c r="D61" s="1296">
        <v>9047994.5540140998</v>
      </c>
      <c r="E61" s="1296">
        <v>322</v>
      </c>
      <c r="F61" s="1296">
        <v>5500945.8807331501</v>
      </c>
    </row>
    <row r="62" spans="1:6">
      <c r="A62" s="1295" t="s">
        <v>48</v>
      </c>
      <c r="B62" s="1295" t="s">
        <v>54</v>
      </c>
      <c r="C62" s="1296">
        <v>4</v>
      </c>
      <c r="D62" s="1296">
        <v>1030406.90686425</v>
      </c>
      <c r="E62" s="1296">
        <v>5</v>
      </c>
      <c r="F62" s="1296">
        <v>208035.22022415299</v>
      </c>
    </row>
    <row r="63" spans="1:6">
      <c r="A63" s="1295" t="s">
        <v>48</v>
      </c>
      <c r="B63" s="1295" t="s">
        <v>28</v>
      </c>
      <c r="C63" s="1296">
        <v>106</v>
      </c>
      <c r="D63" s="1296">
        <v>8329603.3249132801</v>
      </c>
      <c r="E63" s="1296">
        <v>102</v>
      </c>
      <c r="F63" s="1296">
        <v>5761435.5889591398</v>
      </c>
    </row>
    <row r="64" spans="1:6">
      <c r="A64" s="1295" t="s">
        <v>55</v>
      </c>
      <c r="B64" s="1295" t="s">
        <v>56</v>
      </c>
      <c r="C64" s="1296">
        <v>0</v>
      </c>
      <c r="D64" s="1296">
        <v>0</v>
      </c>
      <c r="E64" s="1296">
        <v>0</v>
      </c>
      <c r="F64" s="1296">
        <v>0</v>
      </c>
    </row>
    <row r="65" spans="1:6">
      <c r="A65" s="1295" t="s">
        <v>55</v>
      </c>
      <c r="B65" s="1295" t="s">
        <v>28</v>
      </c>
      <c r="C65" s="1296">
        <v>3</v>
      </c>
      <c r="D65" s="1296">
        <v>46985.228807808096</v>
      </c>
      <c r="E65" s="1296">
        <v>1</v>
      </c>
      <c r="F65" s="1296">
        <v>3960.6037911929998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245898.81330147301</v>
      </c>
      <c r="E68" s="1299">
        <v>10</v>
      </c>
      <c r="F68" s="1299">
        <v>1095673.0885353601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36126366</v>
      </c>
      <c r="E73" s="447"/>
      <c r="F73" s="327"/>
    </row>
    <row r="74" spans="1:6">
      <c r="A74" s="1295" t="s">
        <v>63</v>
      </c>
      <c r="B74" s="1295" t="s">
        <v>755</v>
      </c>
      <c r="C74" s="1309" t="s">
        <v>749</v>
      </c>
      <c r="D74" s="1310">
        <v>3105185.0469762553</v>
      </c>
      <c r="E74" s="447"/>
      <c r="F74" s="327"/>
    </row>
    <row r="75" spans="1:6">
      <c r="A75" s="1295" t="s">
        <v>64</v>
      </c>
      <c r="B75" s="1295" t="s">
        <v>754</v>
      </c>
      <c r="C75" s="1309" t="s">
        <v>750</v>
      </c>
      <c r="D75" s="1310">
        <v>12235926</v>
      </c>
      <c r="E75" s="447"/>
      <c r="F75" s="327"/>
    </row>
    <row r="76" spans="1:6">
      <c r="A76" s="1295" t="s">
        <v>64</v>
      </c>
      <c r="B76" s="1295" t="s">
        <v>755</v>
      </c>
      <c r="C76" s="1309" t="s">
        <v>751</v>
      </c>
      <c r="D76" s="1310">
        <v>1635904.046976255</v>
      </c>
      <c r="E76" s="447"/>
      <c r="F76" s="327"/>
    </row>
    <row r="77" spans="1:6">
      <c r="A77" s="1295" t="s">
        <v>65</v>
      </c>
      <c r="B77" s="1295" t="s">
        <v>754</v>
      </c>
      <c r="C77" s="1309" t="s">
        <v>752</v>
      </c>
      <c r="D77" s="1310">
        <v>135832686</v>
      </c>
      <c r="E77" s="447"/>
      <c r="F77" s="327"/>
    </row>
    <row r="78" spans="1:6">
      <c r="A78" s="1290" t="s">
        <v>65</v>
      </c>
      <c r="B78" s="1290" t="s">
        <v>755</v>
      </c>
      <c r="C78" s="1290" t="s">
        <v>753</v>
      </c>
      <c r="D78" s="1311">
        <v>31041418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317007.90604748979</v>
      </c>
      <c r="C83" s="447"/>
      <c r="D83" s="327"/>
      <c r="E83" s="327"/>
      <c r="F83" s="327"/>
    </row>
    <row r="84" spans="1:6">
      <c r="A84" s="1290" t="s">
        <v>330</v>
      </c>
      <c r="B84" s="1311">
        <v>303079.21532960021</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1589.7322292353845</v>
      </c>
      <c r="C91" s="327"/>
      <c r="D91" s="327"/>
      <c r="E91" s="327"/>
      <c r="F91" s="327"/>
    </row>
    <row r="92" spans="1:6">
      <c r="A92" s="1290" t="s">
        <v>68</v>
      </c>
      <c r="B92" s="1291">
        <v>2342.6059965887243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5156</v>
      </c>
      <c r="C97" s="327"/>
      <c r="D97" s="327"/>
      <c r="E97" s="327"/>
      <c r="F97" s="327"/>
    </row>
    <row r="98" spans="1:6">
      <c r="A98" s="1295" t="s">
        <v>71</v>
      </c>
      <c r="B98" s="1296">
        <v>14</v>
      </c>
      <c r="C98" s="327"/>
      <c r="D98" s="327"/>
      <c r="E98" s="327"/>
      <c r="F98" s="327"/>
    </row>
    <row r="99" spans="1:6">
      <c r="A99" s="1295" t="s">
        <v>72</v>
      </c>
      <c r="B99" s="1296">
        <v>13</v>
      </c>
      <c r="C99" s="327"/>
      <c r="D99" s="327"/>
      <c r="E99" s="327"/>
      <c r="F99" s="327"/>
    </row>
    <row r="100" spans="1:6">
      <c r="A100" s="1295" t="s">
        <v>73</v>
      </c>
      <c r="B100" s="1296">
        <v>969</v>
      </c>
      <c r="C100" s="327"/>
      <c r="D100" s="327"/>
      <c r="E100" s="327"/>
      <c r="F100" s="327"/>
    </row>
    <row r="101" spans="1:6">
      <c r="A101" s="1295" t="s">
        <v>74</v>
      </c>
      <c r="B101" s="1296">
        <v>49</v>
      </c>
      <c r="C101" s="327"/>
      <c r="D101" s="327"/>
      <c r="E101" s="327"/>
      <c r="F101" s="327"/>
    </row>
    <row r="102" spans="1:6">
      <c r="A102" s="1295" t="s">
        <v>75</v>
      </c>
      <c r="B102" s="1296">
        <v>101</v>
      </c>
      <c r="C102" s="327"/>
      <c r="D102" s="327"/>
      <c r="E102" s="327"/>
      <c r="F102" s="327"/>
    </row>
    <row r="103" spans="1:6">
      <c r="A103" s="1295" t="s">
        <v>76</v>
      </c>
      <c r="B103" s="1296">
        <v>138</v>
      </c>
      <c r="C103" s="327"/>
      <c r="D103" s="327"/>
      <c r="E103" s="327"/>
      <c r="F103" s="327"/>
    </row>
    <row r="104" spans="1:6">
      <c r="A104" s="1295" t="s">
        <v>77</v>
      </c>
      <c r="B104" s="1296">
        <v>696</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10</v>
      </c>
      <c r="D123" s="327"/>
      <c r="E123" s="327"/>
      <c r="F123" s="327"/>
    </row>
    <row r="124" spans="1:6" s="44" customFormat="1">
      <c r="A124" s="1297" t="s">
        <v>88</v>
      </c>
      <c r="B124" s="1318">
        <v>1</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38</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101554.2859950686</v>
      </c>
      <c r="C3" s="44" t="s">
        <v>169</v>
      </c>
      <c r="D3" s="44"/>
      <c r="E3" s="157"/>
      <c r="F3" s="44"/>
      <c r="G3" s="44"/>
      <c r="H3" s="44"/>
      <c r="I3" s="44"/>
      <c r="J3" s="44"/>
      <c r="K3" s="97"/>
    </row>
    <row r="4" spans="1:11">
      <c r="A4" s="354" t="s">
        <v>170</v>
      </c>
      <c r="B4" s="50">
        <f>IF(ISERROR('SEAP template'!B78+'SEAP template'!C78),0,'SEAP template'!B78+'SEAP template'!C78)</f>
        <v>34856.338225824111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7348.9976470588244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0.21751168734655371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10498.568067226892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44177.142857142855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1270.7110368556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1270.7110368556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0.21751168734655371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276.39450175635034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31481.6831653068</v>
      </c>
      <c r="C5" s="18">
        <f>IF(ISERROR('Eigen informatie GS &amp; warmtenet'!B57),0,'Eigen informatie GS &amp; warmtenet'!B57)</f>
        <v>0</v>
      </c>
      <c r="D5" s="31">
        <f>(SUM(HH_hh_gas_kWh,HH_rest_gas_kWh)/1000)*0.902</f>
        <v>96443.477295670338</v>
      </c>
      <c r="E5" s="18">
        <f>B32*B41</f>
        <v>913.64507478926828</v>
      </c>
      <c r="F5" s="18">
        <f>B36*B45</f>
        <v>27854.385748360142</v>
      </c>
      <c r="G5" s="19"/>
      <c r="H5" s="18"/>
      <c r="I5" s="18"/>
      <c r="J5" s="18">
        <f>B35*B44+C35*C44</f>
        <v>505.40812365932334</v>
      </c>
      <c r="K5" s="18"/>
      <c r="L5" s="18"/>
      <c r="M5" s="18"/>
      <c r="N5" s="18">
        <f>B34*B43+C34*C43</f>
        <v>10745.860052085685</v>
      </c>
      <c r="O5" s="18">
        <f>B52*B53*B54</f>
        <v>76.603333333333339</v>
      </c>
      <c r="P5" s="18">
        <f>B60*B61*B62/1000-B60*B61*B62/1000/B63</f>
        <v>95.333333333333343</v>
      </c>
    </row>
    <row r="6" spans="1:16">
      <c r="A6" s="17" t="s">
        <v>628</v>
      </c>
      <c r="B6" s="768">
        <f>kWh_PV_kleiner_dan_10kW</f>
        <v>1589.7322292353845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33071.415394542186</v>
      </c>
      <c r="C8" s="22">
        <f>C5</f>
        <v>0</v>
      </c>
      <c r="D8" s="22">
        <f>D5</f>
        <v>96443.477295670338</v>
      </c>
      <c r="E8" s="22">
        <f>E5</f>
        <v>913.64507478926828</v>
      </c>
      <c r="F8" s="22">
        <f>F5</f>
        <v>27854.385748360142</v>
      </c>
      <c r="G8" s="22"/>
      <c r="H8" s="22"/>
      <c r="I8" s="22"/>
      <c r="J8" s="22">
        <f>J5</f>
        <v>505.40812365932334</v>
      </c>
      <c r="K8" s="22"/>
      <c r="L8" s="22">
        <f>L5</f>
        <v>0</v>
      </c>
      <c r="M8" s="22">
        <f>M5</f>
        <v>0</v>
      </c>
      <c r="N8" s="22">
        <f>N5</f>
        <v>10745.860052085685</v>
      </c>
      <c r="O8" s="22">
        <f>O5</f>
        <v>76.603333333333339</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0.21751168734655371</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7193.4193654056635</v>
      </c>
      <c r="C12" s="24">
        <f ca="1">C10*C8</f>
        <v>0</v>
      </c>
      <c r="D12" s="24">
        <f>D8*D10</f>
        <v>19481.582413725409</v>
      </c>
      <c r="E12" s="24">
        <f>E10*E8</f>
        <v>207.3974319771639</v>
      </c>
      <c r="F12" s="24">
        <f>F10*F8</f>
        <v>7437.1209948121586</v>
      </c>
      <c r="G12" s="24"/>
      <c r="H12" s="24"/>
      <c r="I12" s="24"/>
      <c r="J12" s="24">
        <f>J10*J8</f>
        <v>178.91447577540046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7929</v>
      </c>
      <c r="C26" s="37"/>
      <c r="D26" s="228"/>
    </row>
    <row r="27" spans="1:5" s="16" customFormat="1">
      <c r="A27" s="230" t="s">
        <v>654</v>
      </c>
      <c r="B27" s="38">
        <f>SUM(HH_hh_gas_aantal,HH_rest_gas_aantal)</f>
        <v>6492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6167.4</v>
      </c>
      <c r="C31" s="35" t="s">
        <v>110</v>
      </c>
      <c r="D31" s="174"/>
    </row>
    <row r="32" spans="1:5">
      <c r="A32" s="171" t="s">
        <v>72</v>
      </c>
      <c r="B32" s="34">
        <f>IF((B21*($B$26-($B$27-0.05*$B$27)-$B$60))&lt;0,0,B21*($B$26-($B$27-0.05*$B$27)-$B$60))</f>
        <v>43.169025676396558</v>
      </c>
      <c r="C32" s="35" t="s">
        <v>110</v>
      </c>
      <c r="D32" s="174"/>
    </row>
    <row r="33" spans="1:6">
      <c r="A33" s="171" t="s">
        <v>73</v>
      </c>
      <c r="B33" s="34">
        <f>IF((B22*($B$26-($B$27-0.05*$B$27)-$B$60))&lt;0,0,B22*($B$26-($B$27-0.05*$B$27)-$B$60))</f>
        <v>290.57817314090511</v>
      </c>
      <c r="C33" s="35" t="s">
        <v>110</v>
      </c>
      <c r="D33" s="174"/>
    </row>
    <row r="34" spans="1:6">
      <c r="A34" s="171" t="s">
        <v>74</v>
      </c>
      <c r="B34" s="34">
        <f>IF((B24*($B$26-($B$27-0.05*$B$27)-$B$60))&lt;0,0,B24*($B$26-($B$27-0.05*$B$27)-$B$60))</f>
        <v>73.696749541449861</v>
      </c>
      <c r="C34" s="34">
        <f>B26*C24</f>
        <v>1621.498956088074</v>
      </c>
      <c r="D34" s="233"/>
    </row>
    <row r="35" spans="1:6">
      <c r="A35" s="171" t="s">
        <v>76</v>
      </c>
      <c r="B35" s="34">
        <f>IF((B19*($B$26-($B$27-0.05*$B$27)-$B$60))&lt;0,0,B19*($B$26-($B$27-0.05*$B$27)-$B$60))</f>
        <v>27.398119279597779</v>
      </c>
      <c r="C35" s="34">
        <f>B35/2</f>
        <v>13.69905963979889</v>
      </c>
      <c r="D35" s="233"/>
    </row>
    <row r="36" spans="1:6">
      <c r="A36" s="171" t="s">
        <v>77</v>
      </c>
      <c r="B36" s="34">
        <f>IF((B18*($B$26-($B$27-0.05*$B$27)-$B$60))&lt;0,0,B18*($B$26-($B$27-0.05*$B$27)-$B$60))</f>
        <v>1321.7579323616505</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49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23713.155051180023</v>
      </c>
      <c r="C5" s="18">
        <f>IF(ISERROR('Eigen informatie GS &amp; warmtenet'!B58),0,'Eigen informatie GS &amp; warmtenet'!B58)</f>
        <v>0</v>
      </c>
      <c r="D5" s="31">
        <f>SUM(D6:D12)</f>
        <v>26384.928565119561</v>
      </c>
      <c r="E5" s="18">
        <f>SUM(E6:E12)</f>
        <v>192.69310745770116</v>
      </c>
      <c r="F5" s="18">
        <f>SUM(F6:F12)</f>
        <v>4671.2142852724828</v>
      </c>
      <c r="G5" s="19"/>
      <c r="H5" s="18"/>
      <c r="I5" s="18"/>
      <c r="J5" s="18">
        <f>SUM(J6:J12)</f>
        <v>0</v>
      </c>
      <c r="K5" s="18"/>
      <c r="L5" s="18"/>
      <c r="M5" s="18"/>
      <c r="N5" s="18">
        <f>SUM(N6:N12)</f>
        <v>2014.7395336103443</v>
      </c>
      <c r="O5" s="18">
        <f>B38*B39*B40</f>
        <v>0</v>
      </c>
      <c r="P5" s="18">
        <f>B46*B47*B48/1000-B46*B47*B48/1000/B49</f>
        <v>19.066666666666666</v>
      </c>
      <c r="R5" s="33"/>
    </row>
    <row r="6" spans="1:18">
      <c r="A6" s="33" t="s">
        <v>53</v>
      </c>
      <c r="B6" s="38">
        <f>B26</f>
        <v>5500.9458807331503</v>
      </c>
      <c r="C6" s="34"/>
      <c r="D6" s="38">
        <f>IF(ISERROR(TER_kantoor_gas_kWh/1000),0,TER_kantoor_gas_kWh/1000)*0.902</f>
        <v>8161.2910877207178</v>
      </c>
      <c r="E6" s="34">
        <f>$C$26*'E Balans VL '!I12/100/3.6*1000000</f>
        <v>9.028167099159667</v>
      </c>
      <c r="F6" s="34">
        <f>$C$26*('E Balans VL '!L12+'E Balans VL '!N12)/100/3.6*1000000</f>
        <v>648.4320891105142</v>
      </c>
      <c r="G6" s="35"/>
      <c r="H6" s="34"/>
      <c r="I6" s="34"/>
      <c r="J6" s="34">
        <f>$C$26*('E Balans VL '!D12+'E Balans VL '!E12)/100/3.6*1000000</f>
        <v>0</v>
      </c>
      <c r="K6" s="34"/>
      <c r="L6" s="34"/>
      <c r="M6" s="34"/>
      <c r="N6" s="34">
        <f>$C$26*'E Balans VL '!Y12/100/3.6*1000000</f>
        <v>1.1114400660908148</v>
      </c>
      <c r="O6" s="34"/>
      <c r="P6" s="34"/>
      <c r="R6" s="33"/>
    </row>
    <row r="7" spans="1:18">
      <c r="A7" s="33" t="s">
        <v>52</v>
      </c>
      <c r="B7" s="38">
        <f t="shared" ref="B7:B12" si="0">B27</f>
        <v>1307.1173599138899</v>
      </c>
      <c r="C7" s="34"/>
      <c r="D7" s="38">
        <f>IF(ISERROR(TER_horeca_gas_kWh/1000),0,TER_horeca_gas_kWh/1000)*0.902</f>
        <v>2003.1815897992888</v>
      </c>
      <c r="E7" s="34">
        <f>$C$27*'E Balans VL '!I9/100/3.6*1000000</f>
        <v>67.829932475910098</v>
      </c>
      <c r="F7" s="34">
        <f>$C$27*('E Balans VL '!L9+'E Balans VL '!N9)/100/3.6*1000000</f>
        <v>298.28512998140678</v>
      </c>
      <c r="G7" s="35"/>
      <c r="H7" s="34"/>
      <c r="I7" s="34"/>
      <c r="J7" s="34">
        <f>$C$27*('E Balans VL '!D9+'E Balans VL '!E9)/100/3.6*1000000</f>
        <v>0</v>
      </c>
      <c r="K7" s="34"/>
      <c r="L7" s="34"/>
      <c r="M7" s="34"/>
      <c r="N7" s="34">
        <f>$C$27*'E Balans VL '!Y9/100/3.6*1000000</f>
        <v>0.13803099419424325</v>
      </c>
      <c r="O7" s="34"/>
      <c r="P7" s="34"/>
      <c r="R7" s="33"/>
    </row>
    <row r="8" spans="1:18">
      <c r="A8" s="6" t="s">
        <v>51</v>
      </c>
      <c r="B8" s="38">
        <f t="shared" si="0"/>
        <v>8019.4063121756299</v>
      </c>
      <c r="C8" s="34"/>
      <c r="D8" s="38">
        <f>IF(ISERROR(TER_handel_gas_kWh/1000),0,TER_handel_gas_kWh/1000)*0.902</f>
        <v>5482.1517089939398</v>
      </c>
      <c r="E8" s="34">
        <f>$C$28*'E Balans VL '!I13/100/3.6*1000000</f>
        <v>43.185488445124093</v>
      </c>
      <c r="F8" s="34">
        <f>$C$28*('E Balans VL '!L13+'E Balans VL '!N13)/100/3.6*1000000</f>
        <v>1635.3952623439218</v>
      </c>
      <c r="G8" s="35"/>
      <c r="H8" s="34"/>
      <c r="I8" s="34"/>
      <c r="J8" s="34">
        <f>$C$28*('E Balans VL '!D13+'E Balans VL '!E13)/100/3.6*1000000</f>
        <v>0</v>
      </c>
      <c r="K8" s="34"/>
      <c r="L8" s="34"/>
      <c r="M8" s="34"/>
      <c r="N8" s="34">
        <f>$C$28*'E Balans VL '!Y13/100/3.6*1000000</f>
        <v>39.876272663309067</v>
      </c>
      <c r="O8" s="34"/>
      <c r="P8" s="34"/>
      <c r="R8" s="33"/>
    </row>
    <row r="9" spans="1:18">
      <c r="A9" s="33" t="s">
        <v>50</v>
      </c>
      <c r="B9" s="38">
        <f t="shared" si="0"/>
        <v>155.35794409753299</v>
      </c>
      <c r="C9" s="34"/>
      <c r="D9" s="38">
        <f>IF(ISERROR(TER_gezond_gas_kWh/1000),0,TER_gezond_gas_kWh/1000)*0.902</f>
        <v>222.95067432160209</v>
      </c>
      <c r="E9" s="34">
        <f>$C$29*'E Balans VL '!I10/100/3.6*1000000</f>
        <v>0.1539614893238837</v>
      </c>
      <c r="F9" s="34">
        <f>$C$29*('E Balans VL '!L10+'E Balans VL '!N10)/100/3.6*1000000</f>
        <v>53.90472858090174</v>
      </c>
      <c r="G9" s="35"/>
      <c r="H9" s="34"/>
      <c r="I9" s="34"/>
      <c r="J9" s="34">
        <f>$C$29*('E Balans VL '!D10+'E Balans VL '!E10)/100/3.6*1000000</f>
        <v>0</v>
      </c>
      <c r="K9" s="34"/>
      <c r="L9" s="34"/>
      <c r="M9" s="34"/>
      <c r="N9" s="34">
        <f>$C$29*'E Balans VL '!Y10/100/3.6*1000000</f>
        <v>1.3387059456942694</v>
      </c>
      <c r="O9" s="34"/>
      <c r="P9" s="34"/>
      <c r="R9" s="33"/>
    </row>
    <row r="10" spans="1:18">
      <c r="A10" s="33" t="s">
        <v>49</v>
      </c>
      <c r="B10" s="38">
        <f t="shared" si="0"/>
        <v>2760.8567450765299</v>
      </c>
      <c r="C10" s="34"/>
      <c r="D10" s="38">
        <f>IF(ISERROR(TER_ander_gas_kWh/1000),0,TER_ander_gas_kWh/1000)*0.902</f>
        <v>2072.6242752206745</v>
      </c>
      <c r="E10" s="34">
        <f>$C$30*'E Balans VL '!I14/100/3.6*1000000</f>
        <v>22.586567454532773</v>
      </c>
      <c r="F10" s="34">
        <f>$C$30*('E Balans VL '!L14+'E Balans VL '!N14)/100/3.6*1000000</f>
        <v>807.16211312710664</v>
      </c>
      <c r="G10" s="35"/>
      <c r="H10" s="34"/>
      <c r="I10" s="34"/>
      <c r="J10" s="34">
        <f>$C$30*('E Balans VL '!D14+'E Balans VL '!E14)/100/3.6*1000000</f>
        <v>0</v>
      </c>
      <c r="K10" s="34"/>
      <c r="L10" s="34"/>
      <c r="M10" s="34"/>
      <c r="N10" s="34">
        <f>$C$30*'E Balans VL '!Y14/100/3.6*1000000</f>
        <v>1592.6520868956729</v>
      </c>
      <c r="O10" s="34"/>
      <c r="P10" s="34"/>
      <c r="R10" s="33"/>
    </row>
    <row r="11" spans="1:18">
      <c r="A11" s="33" t="s">
        <v>54</v>
      </c>
      <c r="B11" s="38">
        <f t="shared" si="0"/>
        <v>208.03522022415299</v>
      </c>
      <c r="C11" s="34"/>
      <c r="D11" s="38">
        <f>IF(ISERROR(TER_onderwijs_gas_kWh/1000),0,TER_onderwijs_gas_kWh/1000)*0.902</f>
        <v>929.42702999155358</v>
      </c>
      <c r="E11" s="34">
        <f>$C$31*'E Balans VL '!I11/100/3.6*1000000</f>
        <v>0.12822413186874304</v>
      </c>
      <c r="F11" s="34">
        <f>$C$31*('E Balans VL '!L11+'E Balans VL '!N11)/100/3.6*1000000</f>
        <v>80.429785200254912</v>
      </c>
      <c r="G11" s="35"/>
      <c r="H11" s="34"/>
      <c r="I11" s="34"/>
      <c r="J11" s="34">
        <f>$C$31*('E Balans VL '!D11+'E Balans VL '!E11)/100/3.6*1000000</f>
        <v>0</v>
      </c>
      <c r="K11" s="34"/>
      <c r="L11" s="34"/>
      <c r="M11" s="34"/>
      <c r="N11" s="34">
        <f>$C$31*'E Balans VL '!Y11/100/3.6*1000000</f>
        <v>0.67669399039334421</v>
      </c>
      <c r="O11" s="34"/>
      <c r="P11" s="34"/>
      <c r="R11" s="33"/>
    </row>
    <row r="12" spans="1:18">
      <c r="A12" s="33" t="s">
        <v>255</v>
      </c>
      <c r="B12" s="38">
        <f t="shared" si="0"/>
        <v>5761.4355889591397</v>
      </c>
      <c r="C12" s="34"/>
      <c r="D12" s="38">
        <f>IF(ISERROR(TER_rest_gas_kWh/1000),0,TER_rest_gas_kWh/1000)*0.902</f>
        <v>7513.3021990717789</v>
      </c>
      <c r="E12" s="34">
        <f>$C$32*'E Balans VL '!I8/100/3.6*1000000</f>
        <v>49.780766361781914</v>
      </c>
      <c r="F12" s="34">
        <f>$C$32*('E Balans VL '!L8+'E Balans VL '!N8)/100/3.6*1000000</f>
        <v>1147.605176928377</v>
      </c>
      <c r="G12" s="35"/>
      <c r="H12" s="34"/>
      <c r="I12" s="34"/>
      <c r="J12" s="34">
        <f>$C$32*('E Balans VL '!D8+'E Balans VL '!E8)/100/3.6*1000000</f>
        <v>0</v>
      </c>
      <c r="K12" s="34"/>
      <c r="L12" s="34"/>
      <c r="M12" s="34"/>
      <c r="N12" s="34">
        <f>$C$32*'E Balans VL '!Y8/100/3.6*1000000</f>
        <v>378.94630305498976</v>
      </c>
      <c r="O12" s="34"/>
      <c r="P12" s="34"/>
      <c r="R12" s="33"/>
    </row>
    <row r="13" spans="1:18">
      <c r="A13" s="17" t="s">
        <v>495</v>
      </c>
      <c r="B13" s="246">
        <f ca="1">'lokale energieproductie'!N40+'lokale energieproductie'!N33</f>
        <v>22.5</v>
      </c>
      <c r="C13" s="246">
        <f ca="1">'lokale energieproductie'!O40+'lokale energieproductie'!O33</f>
        <v>32.142857142857146</v>
      </c>
      <c r="D13" s="305">
        <f ca="1">('lokale energieproductie'!P33+'lokale energieproductie'!P40)*(-1)</f>
        <v>-64.285714285714292</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23735.655051180023</v>
      </c>
      <c r="C16" s="22">
        <f t="shared" ca="1" si="1"/>
        <v>32.142857142857146</v>
      </c>
      <c r="D16" s="22">
        <f t="shared" ca="1" si="1"/>
        <v>26320.642850833847</v>
      </c>
      <c r="E16" s="22">
        <f t="shared" si="1"/>
        <v>192.69310745770116</v>
      </c>
      <c r="F16" s="22">
        <f t="shared" ca="1" si="1"/>
        <v>4671.2142852724828</v>
      </c>
      <c r="G16" s="22">
        <f t="shared" si="1"/>
        <v>0</v>
      </c>
      <c r="H16" s="22">
        <f t="shared" si="1"/>
        <v>0</v>
      </c>
      <c r="I16" s="22">
        <f t="shared" si="1"/>
        <v>0</v>
      </c>
      <c r="J16" s="22">
        <f t="shared" si="1"/>
        <v>0</v>
      </c>
      <c r="K16" s="22">
        <f t="shared" si="1"/>
        <v>0</v>
      </c>
      <c r="L16" s="22">
        <f t="shared" ca="1" si="1"/>
        <v>0</v>
      </c>
      <c r="M16" s="22">
        <f t="shared" si="1"/>
        <v>0</v>
      </c>
      <c r="N16" s="22">
        <f t="shared" ca="1" si="1"/>
        <v>2014.7395336103443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0.21751168734655371</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5162.7823804579175</v>
      </c>
      <c r="C20" s="24">
        <f t="shared" ref="C20:P20" ca="1" si="2">C16*C18</f>
        <v>7.6386554621848752</v>
      </c>
      <c r="D20" s="24">
        <f t="shared" ca="1" si="2"/>
        <v>5316.7698558684369</v>
      </c>
      <c r="E20" s="24">
        <f t="shared" si="2"/>
        <v>43.741335392898165</v>
      </c>
      <c r="F20" s="24">
        <f t="shared" ca="1" si="2"/>
        <v>1247.214214167753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5500.9458807331503</v>
      </c>
      <c r="C26" s="40">
        <f>IF(ISERROR(B26*3.6/1000000/'E Balans VL '!Z12*100),0,B26*3.6/1000000/'E Balans VL '!Z12*100)</f>
        <v>0.11689115506651865</v>
      </c>
      <c r="D26" s="236" t="s">
        <v>691</v>
      </c>
      <c r="F26" s="6"/>
    </row>
    <row r="27" spans="1:18">
      <c r="A27" s="231" t="s">
        <v>52</v>
      </c>
      <c r="B27" s="34">
        <f>IF(ISERROR(TER_horeca_ele_kWh/1000),0,TER_horeca_ele_kWh/1000)</f>
        <v>1307.1173599138899</v>
      </c>
      <c r="C27" s="40">
        <f>IF(ISERROR(B27*3.6/1000000/'E Balans VL '!Z9*100),0,B27*3.6/1000000/'E Balans VL '!Z9*100)</f>
        <v>0.10288024411993286</v>
      </c>
      <c r="D27" s="236" t="s">
        <v>691</v>
      </c>
      <c r="F27" s="6"/>
    </row>
    <row r="28" spans="1:18">
      <c r="A28" s="171" t="s">
        <v>51</v>
      </c>
      <c r="B28" s="34">
        <f>IF(ISERROR(TER_handel_ele_kWh/1000),0,TER_handel_ele_kWh/1000)</f>
        <v>8019.4063121756299</v>
      </c>
      <c r="C28" s="40">
        <f>IF(ISERROR(B28*3.6/1000000/'E Balans VL '!Z13*100),0,B28*3.6/1000000/'E Balans VL '!Z13*100)</f>
        <v>0.22462786262085799</v>
      </c>
      <c r="D28" s="236" t="s">
        <v>691</v>
      </c>
      <c r="F28" s="6"/>
    </row>
    <row r="29" spans="1:18">
      <c r="A29" s="231" t="s">
        <v>50</v>
      </c>
      <c r="B29" s="34">
        <f>IF(ISERROR(TER_gezond_ele_kWh/1000),0,TER_gezond_ele_kWh/1000)</f>
        <v>155.35794409753299</v>
      </c>
      <c r="C29" s="40">
        <f>IF(ISERROR(B29*3.6/1000000/'E Balans VL '!Z10*100),0,B29*3.6/1000000/'E Balans VL '!Z10*100)</f>
        <v>1.9874978885101532E-2</v>
      </c>
      <c r="D29" s="236" t="s">
        <v>691</v>
      </c>
      <c r="F29" s="6"/>
    </row>
    <row r="30" spans="1:18">
      <c r="A30" s="231" t="s">
        <v>49</v>
      </c>
      <c r="B30" s="34">
        <f>IF(ISERROR(TER_ander_ele_kWh/1000),0,TER_ander_ele_kWh/1000)</f>
        <v>2760.8567450765299</v>
      </c>
      <c r="C30" s="40">
        <f>IF(ISERROR(B30*3.6/1000000/'E Balans VL '!Z14*100),0,B30*3.6/1000000/'E Balans VL '!Z14*100)</f>
        <v>0.20648882114640463</v>
      </c>
      <c r="D30" s="236" t="s">
        <v>691</v>
      </c>
      <c r="F30" s="6"/>
    </row>
    <row r="31" spans="1:18">
      <c r="A31" s="231" t="s">
        <v>54</v>
      </c>
      <c r="B31" s="34">
        <f>IF(ISERROR(TER_onderwijs_ele_kWh/1000),0,TER_onderwijs_ele_kWh/1000)</f>
        <v>208.03522022415299</v>
      </c>
      <c r="C31" s="40">
        <f>IF(ISERROR(B31*3.6/1000000/'E Balans VL '!Z11*100),0,B31*3.6/1000000/'E Balans VL '!Z11*100)</f>
        <v>4.3926906224819491E-2</v>
      </c>
      <c r="D31" s="236" t="s">
        <v>691</v>
      </c>
    </row>
    <row r="32" spans="1:18">
      <c r="A32" s="231" t="s">
        <v>255</v>
      </c>
      <c r="B32" s="34">
        <f>IF(ISERROR(TER_rest_ele_kWh/1000),0,TER_rest_ele_kWh/1000)</f>
        <v>5761.4355889591397</v>
      </c>
      <c r="C32" s="40">
        <f>IF(ISERROR(B32*3.6/1000000/'E Balans VL '!Z8*100),0,B32*3.6/1000000/'E Balans VL '!Z8*100)</f>
        <v>4.7462314981251759E-2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39205.869462738352</v>
      </c>
      <c r="C5" s="18">
        <f>IF(ISERROR('Eigen informatie GS &amp; warmtenet'!B59),0,'Eigen informatie GS &amp; warmtenet'!B59)</f>
        <v>0</v>
      </c>
      <c r="D5" s="31">
        <f>SUM(D6:D15)</f>
        <v>11817.346628754265</v>
      </c>
      <c r="E5" s="18">
        <f>SUM(E6:E15)</f>
        <v>341.95134852620112</v>
      </c>
      <c r="F5" s="18">
        <f>SUM(F6:F15)</f>
        <v>8483.7332064995317</v>
      </c>
      <c r="G5" s="19"/>
      <c r="H5" s="18"/>
      <c r="I5" s="18"/>
      <c r="J5" s="18">
        <f>SUM(J6:J15)</f>
        <v>185.61522138063839</v>
      </c>
      <c r="K5" s="18"/>
      <c r="L5" s="18"/>
      <c r="M5" s="18"/>
      <c r="N5" s="18">
        <f>SUM(N6:N15)</f>
        <v>1179.2563371681997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1329.91829042873</v>
      </c>
      <c r="C8" s="34"/>
      <c r="D8" s="38">
        <f>IF( ISERROR(IND_metaal_Gas_kWH/1000),0,IND_metaal_Gas_kWH/1000)*0.902</f>
        <v>0</v>
      </c>
      <c r="E8" s="34">
        <f>C30*'E Balans VL '!I18/100/3.6*1000000</f>
        <v>12.111326203228122</v>
      </c>
      <c r="F8" s="34">
        <f>C30*'E Balans VL '!L18/100/3.6*1000000+C30*'E Balans VL '!N18/100/3.6*1000000</f>
        <v>175.40612293458636</v>
      </c>
      <c r="G8" s="35"/>
      <c r="H8" s="34"/>
      <c r="I8" s="34"/>
      <c r="J8" s="41">
        <f>C30*'E Balans VL '!D18/100/3.6*1000000+C30*'E Balans VL '!E18/100/3.6*1000000</f>
        <v>21.808728991205687</v>
      </c>
      <c r="K8" s="34"/>
      <c r="L8" s="34"/>
      <c r="M8" s="34"/>
      <c r="N8" s="34">
        <f>C30*'E Balans VL '!Y18/100/3.6*1000000</f>
        <v>4.5704008555178861</v>
      </c>
      <c r="O8" s="34"/>
      <c r="P8" s="34"/>
      <c r="R8" s="33"/>
    </row>
    <row r="9" spans="1:18">
      <c r="A9" s="6" t="s">
        <v>32</v>
      </c>
      <c r="B9" s="38">
        <f t="shared" si="0"/>
        <v>2293.2806675115798</v>
      </c>
      <c r="C9" s="34"/>
      <c r="D9" s="38">
        <f>IF( ISERROR(IND_andere_gas_kWh/1000),0,IND_andere_gas_kWh/1000)*0.902</f>
        <v>2525.4404505201251</v>
      </c>
      <c r="E9" s="34">
        <f>C31*'E Balans VL '!I19/100/3.6*1000000</f>
        <v>13.25550496066675</v>
      </c>
      <c r="F9" s="34">
        <f>C31*'E Balans VL '!L19/100/3.6*1000000+C31*'E Balans VL '!N19/100/3.6*1000000</f>
        <v>1824.4151193045398</v>
      </c>
      <c r="G9" s="35"/>
      <c r="H9" s="34"/>
      <c r="I9" s="34"/>
      <c r="J9" s="41">
        <f>C31*'E Balans VL '!D19/100/3.6*1000000+C31*'E Balans VL '!E19/100/3.6*1000000</f>
        <v>0.21691887810643401</v>
      </c>
      <c r="K9" s="34"/>
      <c r="L9" s="34"/>
      <c r="M9" s="34"/>
      <c r="N9" s="34">
        <f>C31*'E Balans VL '!Y19/100/3.6*1000000</f>
        <v>173.75071548495521</v>
      </c>
      <c r="O9" s="34"/>
      <c r="P9" s="34"/>
      <c r="R9" s="33"/>
    </row>
    <row r="10" spans="1:18">
      <c r="A10" s="6" t="s">
        <v>40</v>
      </c>
      <c r="B10" s="38">
        <f t="shared" si="0"/>
        <v>221.053646256127</v>
      </c>
      <c r="C10" s="34"/>
      <c r="D10" s="38">
        <f>IF( ISERROR(IND_voed_gas_kWh/1000),0,IND_voed_gas_kWh/1000)*0.902</f>
        <v>470.72483940215017</v>
      </c>
      <c r="E10" s="34">
        <f>C32*'E Balans VL '!I20/100/3.6*1000000</f>
        <v>2.1735356524850022</v>
      </c>
      <c r="F10" s="34">
        <f>C32*'E Balans VL '!L20/100/3.6*1000000+C32*'E Balans VL '!N20/100/3.6*1000000</f>
        <v>24.550892751378946</v>
      </c>
      <c r="G10" s="35"/>
      <c r="H10" s="34"/>
      <c r="I10" s="34"/>
      <c r="J10" s="41">
        <f>C32*'E Balans VL '!D20/100/3.6*1000000+C32*'E Balans VL '!E20/100/3.6*1000000</f>
        <v>8.7127277221236673E-4</v>
      </c>
      <c r="K10" s="34"/>
      <c r="L10" s="34"/>
      <c r="M10" s="34"/>
      <c r="N10" s="34">
        <f>C32*'E Balans VL '!Y20/100/3.6*1000000</f>
        <v>3.2732845280680758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43.790260353373398</v>
      </c>
      <c r="C12" s="34"/>
      <c r="D12" s="38">
        <f>IF( ISERROR(IND_min_gas_kWh/1000),0,IND_min_gas_kWh/1000)*0.902</f>
        <v>38.004105711754157</v>
      </c>
      <c r="E12" s="34">
        <f>C34*'E Balans VL '!I22/100/3.6*1000000</f>
        <v>1.1101610245107729</v>
      </c>
      <c r="F12" s="34">
        <f>C34*'E Balans VL '!L22/100/3.6*1000000+C34*'E Balans VL '!N22/100/3.6*1000000</f>
        <v>12.116917674684121</v>
      </c>
      <c r="G12" s="35"/>
      <c r="H12" s="34"/>
      <c r="I12" s="34"/>
      <c r="J12" s="41">
        <f>C34*'E Balans VL '!D22/100/3.6*1000000+C34*'E Balans VL '!E22/100/3.6*1000000</f>
        <v>0.2891996790671259</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2844.7786223640401</v>
      </c>
      <c r="C14" s="34"/>
      <c r="D14" s="38">
        <f>IF( ISERROR(IND_chemie_gas_kWh/1000),0,IND_chemie_gas_kWh/1000)*0.902</f>
        <v>0</v>
      </c>
      <c r="E14" s="34">
        <f>C36*'E Balans VL '!I24/100/3.6*1000000</f>
        <v>21.508047507680558</v>
      </c>
      <c r="F14" s="34">
        <f>C36*'E Balans VL '!L24/100/3.6*1000000+C36*'E Balans VL '!N24/100/3.6*1000000</f>
        <v>52.636269796790238</v>
      </c>
      <c r="G14" s="35"/>
      <c r="H14" s="34"/>
      <c r="I14" s="34"/>
      <c r="J14" s="41">
        <f>C36*'E Balans VL '!D24/100/3.6*1000000+C36*'E Balans VL '!E24/100/3.6*1000000</f>
        <v>0</v>
      </c>
      <c r="K14" s="34"/>
      <c r="L14" s="34"/>
      <c r="M14" s="34"/>
      <c r="N14" s="34">
        <f>C36*'E Balans VL '!Y24/100/3.6*1000000</f>
        <v>0.82491244463010849</v>
      </c>
      <c r="O14" s="34"/>
      <c r="P14" s="34"/>
      <c r="R14" s="33"/>
    </row>
    <row r="15" spans="1:18">
      <c r="A15" s="6" t="s">
        <v>265</v>
      </c>
      <c r="B15" s="38">
        <f t="shared" si="0"/>
        <v>32473.047975824502</v>
      </c>
      <c r="C15" s="34"/>
      <c r="D15" s="38">
        <f>IF( ISERROR(IND_rest_gas_kWh/1000),0,IND_rest_gas_kWh/1000)*0.902</f>
        <v>8783.1772331202355</v>
      </c>
      <c r="E15" s="34">
        <f>C37*'E Balans VL '!I15/100/3.6*1000000</f>
        <v>291.7927731776299</v>
      </c>
      <c r="F15" s="34">
        <f>C37*'E Balans VL '!L15/100/3.6*1000000+C37*'E Balans VL '!N15/100/3.6*1000000</f>
        <v>6394.6078840375521</v>
      </c>
      <c r="G15" s="35"/>
      <c r="H15" s="34"/>
      <c r="I15" s="34"/>
      <c r="J15" s="41">
        <f>C37*'E Balans VL '!D15/100/3.6*1000000+C37*'E Balans VL '!E15/100/3.6*1000000</f>
        <v>163.29950255948694</v>
      </c>
      <c r="K15" s="34"/>
      <c r="L15" s="34"/>
      <c r="M15" s="34"/>
      <c r="N15" s="34">
        <f>C37*'E Balans VL '!Y15/100/3.6*1000000</f>
        <v>996.83702385502841</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39205.869462738352</v>
      </c>
      <c r="C18" s="22">
        <f>C5+C16</f>
        <v>0</v>
      </c>
      <c r="D18" s="22">
        <f>MAX((D5+D16),0)</f>
        <v>11817.346628754265</v>
      </c>
      <c r="E18" s="22">
        <f>MAX((E5+E16),0)</f>
        <v>341.95134852620112</v>
      </c>
      <c r="F18" s="22">
        <f>MAX((F5+F16),0)</f>
        <v>8483.7332064995317</v>
      </c>
      <c r="G18" s="22"/>
      <c r="H18" s="22"/>
      <c r="I18" s="22"/>
      <c r="J18" s="22">
        <f>MAX((J5+J16),0)</f>
        <v>185.61522138063839</v>
      </c>
      <c r="K18" s="22"/>
      <c r="L18" s="22">
        <f>MAX((L5+L16),0)</f>
        <v>0</v>
      </c>
      <c r="M18" s="22"/>
      <c r="N18" s="22">
        <f>MAX((N5+N16),0)</f>
        <v>1179.2563371681997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0.21751168734655371</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8527.7348207289415</v>
      </c>
      <c r="C22" s="24">
        <f ca="1">C18*C20</f>
        <v>0</v>
      </c>
      <c r="D22" s="24">
        <f>D18*D20</f>
        <v>2387.1040190083618</v>
      </c>
      <c r="E22" s="24">
        <f>E18*E20</f>
        <v>77.62295611544765</v>
      </c>
      <c r="F22" s="24">
        <f>F18*F20</f>
        <v>2265.1567661353752</v>
      </c>
      <c r="G22" s="24"/>
      <c r="H22" s="24"/>
      <c r="I22" s="24"/>
      <c r="J22" s="24">
        <f>J18*J20</f>
        <v>65.70778836874598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1329.91829042873</v>
      </c>
      <c r="C30" s="40">
        <f>IF(ISERROR(B30*3.6/1000000/'E Balans VL '!Z18*100),0,B30*3.6/1000000/'E Balans VL '!Z18*100)</f>
        <v>7.4001059775051101E-2</v>
      </c>
      <c r="D30" s="236" t="s">
        <v>691</v>
      </c>
    </row>
    <row r="31" spans="1:18">
      <c r="A31" s="6" t="s">
        <v>32</v>
      </c>
      <c r="B31" s="38">
        <f>IF( ISERROR(IND_ander_ele_kWh/1000),0,IND_ander_ele_kWh/1000)</f>
        <v>2293.2806675115798</v>
      </c>
      <c r="C31" s="40">
        <f>IF(ISERROR(B31*3.6/1000000/'E Balans VL '!Z19*100),0,B31*3.6/1000000/'E Balans VL '!Z19*100)</f>
        <v>0.10660859538336688</v>
      </c>
      <c r="D31" s="236" t="s">
        <v>691</v>
      </c>
    </row>
    <row r="32" spans="1:18">
      <c r="A32" s="171" t="s">
        <v>40</v>
      </c>
      <c r="B32" s="38">
        <f>IF( ISERROR(IND_voed_ele_kWh/1000),0,IND_voed_ele_kWh/1000)</f>
        <v>221.053646256127</v>
      </c>
      <c r="C32" s="40">
        <f>IF(ISERROR(B32*3.6/1000000/'E Balans VL '!Z20*100),0,B32*3.6/1000000/'E Balans VL '!Z20*100)</f>
        <v>7.8137999584086838E-3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43.790260353373398</v>
      </c>
      <c r="C34" s="40">
        <f>IF(ISERROR(B34*3.6/1000000/'E Balans VL '!Z22*100),0,B34*3.6/1000000/'E Balans VL '!Z22*100)</f>
        <v>8.8006074874041676E-3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2844.7786223640401</v>
      </c>
      <c r="C36" s="40">
        <f>IF(ISERROR(B36*3.6/1000000/'E Balans VL '!Z24*100),0,B36*3.6/1000000/'E Balans VL '!Z24*100)</f>
        <v>7.0053310345900746E-2</v>
      </c>
      <c r="D36" s="236" t="s">
        <v>691</v>
      </c>
    </row>
    <row r="37" spans="1:5">
      <c r="A37" s="171" t="s">
        <v>265</v>
      </c>
      <c r="B37" s="38">
        <f>IF( ISERROR(IND_rest_ele_kWh/1000),0,IND_rest_ele_kWh/1000)</f>
        <v>32473.047975824502</v>
      </c>
      <c r="C37" s="40">
        <f>IF(ISERROR(B37*3.6/1000000/'E Balans VL '!Z15*100),0,B37*3.6/1000000/'E Balans VL '!Z15*100)</f>
        <v>0.24521948216310907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1144.0595156556801</v>
      </c>
      <c r="C5" s="18">
        <f>'Eigen informatie GS &amp; warmtenet'!B60</f>
        <v>0</v>
      </c>
      <c r="D5" s="31">
        <f>IF(ISERROR(SUM(LB_lb_gas_kWh,LB_rest_gas_kWh)/1000),0,SUM(LB_lb_gas_kWh,LB_rest_gas_kWh)/1000)*0.902</f>
        <v>86063.207527769977</v>
      </c>
      <c r="E5" s="18">
        <f>B17*'E Balans VL '!I25/3.6*1000000/100</f>
        <v>10.777807182497044</v>
      </c>
      <c r="F5" s="18">
        <f>B17*('E Balans VL '!L25/3.6*1000000+'E Balans VL '!N25/3.6*1000000)/100</f>
        <v>3733.4458795929932</v>
      </c>
      <c r="G5" s="19"/>
      <c r="H5" s="18"/>
      <c r="I5" s="18"/>
      <c r="J5" s="18">
        <f>('E Balans VL '!D25+'E Balans VL '!E25)/3.6*1000000*landbouw!B17/100</f>
        <v>141.52572679102283</v>
      </c>
      <c r="K5" s="18"/>
      <c r="L5" s="18">
        <f>L6*(-1)</f>
        <v>0</v>
      </c>
      <c r="M5" s="18"/>
      <c r="N5" s="18">
        <f>N6*(-1)</f>
        <v>0</v>
      </c>
      <c r="O5" s="18"/>
      <c r="P5" s="18"/>
      <c r="R5" s="33"/>
    </row>
    <row r="6" spans="1:18">
      <c r="A6" s="17" t="s">
        <v>495</v>
      </c>
      <c r="B6" s="18" t="s">
        <v>210</v>
      </c>
      <c r="C6" s="18">
        <f>'lokale energieproductie'!O41+'lokale energieproductie'!O34</f>
        <v>44145</v>
      </c>
      <c r="D6" s="305">
        <f>('lokale energieproductie'!P34+'lokale energieproductie'!P41)*(-1)</f>
        <v>-88290</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1144.0595156556801</v>
      </c>
      <c r="C8" s="22">
        <f>C5+C6</f>
        <v>44145</v>
      </c>
      <c r="D8" s="22">
        <f>MAX((D5+D6),0)</f>
        <v>0</v>
      </c>
      <c r="E8" s="22">
        <f>MAX((E5+E6),0)</f>
        <v>10.777807182497044</v>
      </c>
      <c r="F8" s="22">
        <f>MAX((F5+F6),0)</f>
        <v>3733.4458795929932</v>
      </c>
      <c r="G8" s="22"/>
      <c r="H8" s="22"/>
      <c r="I8" s="22"/>
      <c r="J8" s="22">
        <f>MAX((J5+J6),0)</f>
        <v>141.52572679102283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0.21751168734655371</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248.84631567514796</v>
      </c>
      <c r="C12" s="24">
        <f ca="1">C8*C10</f>
        <v>10490.929411764706</v>
      </c>
      <c r="D12" s="24">
        <f>D8*D10</f>
        <v>0</v>
      </c>
      <c r="E12" s="24">
        <f>E8*E10</f>
        <v>2.4465622304268293</v>
      </c>
      <c r="F12" s="24">
        <f>F8*F10</f>
        <v>996.83004985132925</v>
      </c>
      <c r="G12" s="24"/>
      <c r="H12" s="24"/>
      <c r="I12" s="24"/>
      <c r="J12" s="24">
        <f>J8*J10</f>
        <v>50.10010728402208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0.15488737693312263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8.94375632727618</v>
      </c>
      <c r="C26" s="246">
        <f>B26*'GWP N2O_CH4'!B5</f>
        <v>187.81888287279978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9.3860452051592578</v>
      </c>
      <c r="C27" s="246">
        <f>B27*'GWP N2O_CH4'!B5</f>
        <v>197.10694930834441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0.15007479127692336</v>
      </c>
      <c r="C28" s="246">
        <f>B28*'GWP N2O_CH4'!B4</f>
        <v>46.52318529584624</v>
      </c>
      <c r="D28" s="51"/>
    </row>
    <row r="29" spans="1:4">
      <c r="A29" s="42" t="s">
        <v>272</v>
      </c>
      <c r="B29" s="246">
        <f>B34*'ha_N2O bodem landbouw'!B4</f>
        <v>2.0131081717612704</v>
      </c>
      <c r="C29" s="246">
        <f>B29*'GWP N2O_CH4'!B4</f>
        <v>624.06353324599388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5.4347583319312156E-4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2.8614263787154931E-5</v>
      </c>
      <c r="C5" s="435" t="s">
        <v>210</v>
      </c>
      <c r="D5" s="420">
        <f>SUM(D6:D11)</f>
        <v>3.1240356918016768E-5</v>
      </c>
      <c r="E5" s="420">
        <f>SUM(E6:E11)</f>
        <v>2.3409114955948436E-3</v>
      </c>
      <c r="F5" s="433" t="s">
        <v>210</v>
      </c>
      <c r="G5" s="420">
        <f>SUM(G6:G11)</f>
        <v>0.67733268783734124</v>
      </c>
      <c r="H5" s="420">
        <f>SUM(H6:H11)</f>
        <v>7.8661155870737701E-2</v>
      </c>
      <c r="I5" s="435" t="s">
        <v>210</v>
      </c>
      <c r="J5" s="435" t="s">
        <v>210</v>
      </c>
      <c r="K5" s="435" t="s">
        <v>210</v>
      </c>
      <c r="L5" s="435" t="s">
        <v>210</v>
      </c>
      <c r="M5" s="420">
        <f>SUM(M6:M11)</f>
        <v>3.3741440299130551E-2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5.0722615561669286E-6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5.90756905778405E-6</v>
      </c>
      <c r="E6" s="423">
        <f>vkm_GW_PW*SUMIFS(TableVerdeelsleutelVkm[LPG],TableVerdeelsleutelVkm[Voertuigtype],"Lichte voertuigen")*SUMIFS(TableECFTransport[EnergieConsumptieFactor (PJ per km)],TableECFTransport[Index],CONCATENATE($A6,"_LPG_LPG"))</f>
        <v>3.8326789975140366E-4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5.9796998168815736E-2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1.4411067097810586E-2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3.3208157534565476E-3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1.8176114695635963E-7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3.006730496591702E-2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8.0681293516594388E-7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1.3378969859026318E-3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1.7937187523826051E-6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3.4119617037506378E-6</v>
      </c>
      <c r="E8" s="423">
        <f>vkm_NGW_PW*SUMIFS(TableVerdeelsleutelVkm[LPG],TableVerdeelsleutelVkm[Voertuigtype],"Lichte voertuigen")*SUMIFS(TableECFTransport[EnergieConsumptieFactor (PJ per km)],TableECFTransport[Index],CONCATENATE($A8,"_LPG_LPG"))</f>
        <v>2.0972974022389896E-4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3.0804634764621211E-2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7.9340331315842297E-3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1.7340967273210455E-3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9.5757190438135034E-8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2.0312803532132041E-2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5.130499377597229E-7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9.0385202658994381E-4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1.9653764333376301E-5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2.1920826156482083E-5</v>
      </c>
      <c r="E10" s="423">
        <f>vkm_SW_PW*SUMIFS(TableVerdeelsleutelVkm[LPG],TableVerdeelsleutelVkm[Voertuigtype],"Lichte voertuigen")*SUMIFS(TableECFTransport[EnergieConsumptieFactor (PJ per km)],TableECFTransport[Index],CONCATENATE($A10,"_LPG_LPG"))</f>
        <v>1.747913855619541E-3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0.25480030961880373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5.6306434263457897E-2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1.3916659744026135E-2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1.8170008078346036E-6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0.2815506367870515</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8.3015150120583994E-6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1.252811906183425E-2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7.9484066075430366</v>
      </c>
      <c r="C14" s="22"/>
      <c r="D14" s="22">
        <f t="shared" ref="D14:M14" si="0">((D5)*10^9/3600)+D12</f>
        <v>8.6778769216713254</v>
      </c>
      <c r="E14" s="22">
        <f t="shared" si="0"/>
        <v>650.25319322078997</v>
      </c>
      <c r="F14" s="22"/>
      <c r="G14" s="22">
        <f t="shared" si="0"/>
        <v>188147.96884370589</v>
      </c>
      <c r="H14" s="22">
        <f t="shared" si="0"/>
        <v>21850.321075204916</v>
      </c>
      <c r="I14" s="22"/>
      <c r="J14" s="22"/>
      <c r="K14" s="22"/>
      <c r="L14" s="22"/>
      <c r="M14" s="22">
        <f t="shared" si="0"/>
        <v>9372.622305314042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0.21751168734655371</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1.7288713329231826</v>
      </c>
      <c r="C18" s="24"/>
      <c r="D18" s="24">
        <f t="shared" ref="D18:M18" si="1">D14*D16</f>
        <v>1.7529311381776078</v>
      </c>
      <c r="E18" s="24">
        <f t="shared" si="1"/>
        <v>147.60747486111933</v>
      </c>
      <c r="F18" s="24"/>
      <c r="G18" s="24">
        <f t="shared" si="1"/>
        <v>50235.507681269475</v>
      </c>
      <c r="H18" s="24">
        <f t="shared" si="1"/>
        <v>5440.729947726024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3.8667898216519924E-3</v>
      </c>
      <c r="C50" s="316">
        <f t="shared" ref="C50:P50" si="2">SUM(C51:C52)</f>
        <v>0</v>
      </c>
      <c r="D50" s="316">
        <f t="shared" si="2"/>
        <v>0</v>
      </c>
      <c r="E50" s="316">
        <f t="shared" si="2"/>
        <v>0</v>
      </c>
      <c r="F50" s="316">
        <f t="shared" si="2"/>
        <v>0</v>
      </c>
      <c r="G50" s="316">
        <f t="shared" si="2"/>
        <v>4.1315636455039294E-3</v>
      </c>
      <c r="H50" s="316">
        <f t="shared" si="2"/>
        <v>0</v>
      </c>
      <c r="I50" s="316">
        <f t="shared" si="2"/>
        <v>0</v>
      </c>
      <c r="J50" s="316">
        <f t="shared" si="2"/>
        <v>0</v>
      </c>
      <c r="K50" s="316">
        <f t="shared" si="2"/>
        <v>0</v>
      </c>
      <c r="L50" s="316">
        <f t="shared" si="2"/>
        <v>0</v>
      </c>
      <c r="M50" s="316">
        <f t="shared" si="2"/>
        <v>1.8261071276898304E-4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2.0714579119365959E-5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4.1315636455039294E-3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1.8261071276898304E-4</v>
      </c>
      <c r="N51" s="318"/>
      <c r="O51" s="318"/>
      <c r="P51" s="321"/>
    </row>
    <row r="52" spans="1:18">
      <c r="A52" s="4" t="s">
        <v>324</v>
      </c>
      <c r="B52" s="322">
        <f>vkm_tram*SUMIFS(TableECFTransport[EnergieConsumptieFactor (PJ per km)],TableECFTransport[Index],"Tram_gemiddeld_Electric_Electric")</f>
        <v>3.8460752425326264E-3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1074.1082837922202</v>
      </c>
      <c r="C54" s="22">
        <f t="shared" ref="C54:P54" si="3">(C50)*10^9/3600</f>
        <v>0</v>
      </c>
      <c r="D54" s="22">
        <f t="shared" si="3"/>
        <v>0</v>
      </c>
      <c r="E54" s="22">
        <f t="shared" si="3"/>
        <v>0</v>
      </c>
      <c r="F54" s="22">
        <f t="shared" si="3"/>
        <v>0</v>
      </c>
      <c r="G54" s="22">
        <f t="shared" si="3"/>
        <v>1147.656568195536</v>
      </c>
      <c r="H54" s="22">
        <f t="shared" si="3"/>
        <v>0</v>
      </c>
      <c r="I54" s="22">
        <f t="shared" si="3"/>
        <v>0</v>
      </c>
      <c r="J54" s="22">
        <f t="shared" si="3"/>
        <v>0</v>
      </c>
      <c r="K54" s="22">
        <f t="shared" si="3"/>
        <v>0</v>
      </c>
      <c r="L54" s="22">
        <f t="shared" si="3"/>
        <v>0</v>
      </c>
      <c r="M54" s="22">
        <f t="shared" si="3"/>
        <v>50.725197991384178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0.21751168734655371</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233.63110520055679</v>
      </c>
      <c r="C58" s="24">
        <f t="shared" ref="C58:P58" ca="1" si="4">C54*C56</f>
        <v>0</v>
      </c>
      <c r="D58" s="24">
        <f t="shared" si="4"/>
        <v>0</v>
      </c>
      <c r="E58" s="24">
        <f t="shared" si="4"/>
        <v>0</v>
      </c>
      <c r="F58" s="24">
        <f t="shared" si="4"/>
        <v>0</v>
      </c>
      <c r="G58" s="24">
        <f t="shared" si="4"/>
        <v>306.42430370820813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3932.338225824109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30924</v>
      </c>
      <c r="C8" s="546">
        <f>B50</f>
        <v>36381.176470588238</v>
      </c>
      <c r="D8" s="969"/>
      <c r="E8" s="969">
        <f>E50</f>
        <v>0</v>
      </c>
      <c r="F8" s="970"/>
      <c r="G8" s="547"/>
      <c r="H8" s="969">
        <f>I50</f>
        <v>0</v>
      </c>
      <c r="I8" s="969">
        <f>G50+F50</f>
        <v>0</v>
      </c>
      <c r="J8" s="969">
        <f>H50+D50+C50</f>
        <v>0</v>
      </c>
      <c r="K8" s="969"/>
      <c r="L8" s="969"/>
      <c r="M8" s="969"/>
      <c r="N8" s="548"/>
      <c r="O8" s="549">
        <f>C8*$C$12+D8*$D$12+E8*$E$12+F8*$F$12+G8*$G$12+H8*$H$12+I8*$I$12+J8*$J$12</f>
        <v>7348.9976470588244</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34856.338225824111</v>
      </c>
      <c r="C10" s="558">
        <f t="shared" ref="C10:L10" si="0">SUM(C8:C9)</f>
        <v>36381.176470588238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7348.9976470588244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44177.142857142855</v>
      </c>
      <c r="C17" s="570">
        <f>B51</f>
        <v>51973.10924369748</v>
      </c>
      <c r="D17" s="571"/>
      <c r="E17" s="571">
        <f>E51</f>
        <v>0</v>
      </c>
      <c r="F17" s="572"/>
      <c r="G17" s="573"/>
      <c r="H17" s="570">
        <f>I51</f>
        <v>0</v>
      </c>
      <c r="I17" s="571">
        <f>G51+F51</f>
        <v>0</v>
      </c>
      <c r="J17" s="571">
        <f>H51+D51+C51</f>
        <v>0</v>
      </c>
      <c r="K17" s="571"/>
      <c r="L17" s="571"/>
      <c r="M17" s="571"/>
      <c r="N17" s="976"/>
      <c r="O17" s="574">
        <f>C17*$C$22+E17*$E$22+H17*$H$22+I17*$I$22+J17*$J$22+D17*$D$22+F17*$F$22+G17*$G$22+K17*$K$22+L17*$L$22</f>
        <v>10498.568067226892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44177.142857142855</v>
      </c>
      <c r="C20" s="557">
        <f>SUM(C17:C19)</f>
        <v>51973.10924369748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10498.568067226892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11056</v>
      </c>
      <c r="C28" s="777">
        <v>2070</v>
      </c>
      <c r="D28" s="630" t="s">
        <v>965</v>
      </c>
      <c r="E28" s="629" t="s">
        <v>966</v>
      </c>
      <c r="F28" s="629" t="s">
        <v>967</v>
      </c>
      <c r="G28" s="629" t="s">
        <v>968</v>
      </c>
      <c r="H28" s="629" t="s">
        <v>969</v>
      </c>
      <c r="I28" s="629" t="s">
        <v>966</v>
      </c>
      <c r="J28" s="776">
        <v>40267</v>
      </c>
      <c r="K28" s="776">
        <v>40269</v>
      </c>
      <c r="L28" s="629" t="s">
        <v>970</v>
      </c>
      <c r="M28" s="629">
        <v>2067</v>
      </c>
      <c r="N28" s="629">
        <v>9301.5</v>
      </c>
      <c r="O28" s="629">
        <v>13287.857142857143</v>
      </c>
      <c r="P28" s="629">
        <v>26575.714285714286</v>
      </c>
      <c r="Q28" s="629">
        <v>0</v>
      </c>
      <c r="R28" s="629">
        <v>0</v>
      </c>
      <c r="S28" s="629">
        <v>0</v>
      </c>
      <c r="T28" s="629">
        <v>0</v>
      </c>
      <c r="U28" s="629">
        <v>0</v>
      </c>
      <c r="V28" s="629">
        <v>0</v>
      </c>
      <c r="W28" s="629"/>
      <c r="X28" s="629">
        <v>10</v>
      </c>
      <c r="Y28" s="629" t="s">
        <v>111</v>
      </c>
      <c r="Z28" s="631" t="s">
        <v>111</v>
      </c>
    </row>
    <row r="29" spans="1:26" s="583" customFormat="1" ht="63.75">
      <c r="A29" s="582"/>
      <c r="B29" s="777">
        <v>11056</v>
      </c>
      <c r="C29" s="777">
        <v>2070</v>
      </c>
      <c r="D29" s="630" t="s">
        <v>971</v>
      </c>
      <c r="E29" s="629" t="s">
        <v>972</v>
      </c>
      <c r="F29" s="629" t="s">
        <v>973</v>
      </c>
      <c r="G29" s="629" t="s">
        <v>968</v>
      </c>
      <c r="H29" s="629" t="s">
        <v>969</v>
      </c>
      <c r="I29" s="629" t="s">
        <v>972</v>
      </c>
      <c r="J29" s="776">
        <v>40735</v>
      </c>
      <c r="K29" s="776">
        <v>40848</v>
      </c>
      <c r="L29" s="629" t="s">
        <v>970</v>
      </c>
      <c r="M29" s="629">
        <v>5</v>
      </c>
      <c r="N29" s="629">
        <v>22.5</v>
      </c>
      <c r="O29" s="629">
        <v>32.142857142857146</v>
      </c>
      <c r="P29" s="629">
        <v>64.285714285714292</v>
      </c>
      <c r="Q29" s="629">
        <v>0</v>
      </c>
      <c r="R29" s="629">
        <v>0</v>
      </c>
      <c r="S29" s="629">
        <v>0</v>
      </c>
      <c r="T29" s="629">
        <v>0</v>
      </c>
      <c r="U29" s="629">
        <v>0</v>
      </c>
      <c r="V29" s="629">
        <v>0</v>
      </c>
      <c r="W29" s="629"/>
      <c r="X29" s="629">
        <v>1600</v>
      </c>
      <c r="Y29" s="629" t="s">
        <v>49</v>
      </c>
      <c r="Z29" s="631" t="s">
        <v>155</v>
      </c>
    </row>
    <row r="30" spans="1:26" s="583" customFormat="1" ht="25.5">
      <c r="A30" s="582"/>
      <c r="B30" s="777">
        <v>11056</v>
      </c>
      <c r="C30" s="777">
        <v>2070</v>
      </c>
      <c r="D30" s="630" t="s">
        <v>974</v>
      </c>
      <c r="E30" s="629" t="s">
        <v>975</v>
      </c>
      <c r="F30" s="629" t="s">
        <v>976</v>
      </c>
      <c r="G30" s="629" t="s">
        <v>968</v>
      </c>
      <c r="H30" s="629" t="s">
        <v>969</v>
      </c>
      <c r="I30" s="629" t="s">
        <v>977</v>
      </c>
      <c r="J30" s="776">
        <v>40946</v>
      </c>
      <c r="K30" s="776">
        <v>39043</v>
      </c>
      <c r="L30" s="629" t="s">
        <v>970</v>
      </c>
      <c r="M30" s="629">
        <v>4800</v>
      </c>
      <c r="N30" s="629">
        <v>21600</v>
      </c>
      <c r="O30" s="629">
        <v>30857.142857142859</v>
      </c>
      <c r="P30" s="629">
        <v>61714.285714285717</v>
      </c>
      <c r="Q30" s="629">
        <v>0</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6872</v>
      </c>
      <c r="N31" s="587">
        <f>SUM(N28:N30)</f>
        <v>30924</v>
      </c>
      <c r="O31" s="587">
        <f>SUM(O28:O30)</f>
        <v>44177.142857142855</v>
      </c>
      <c r="P31" s="587">
        <f>SUM(P28:P30)</f>
        <v>88354.28571428571</v>
      </c>
      <c r="Q31" s="587">
        <f>SUM(Q28:Q30)</f>
        <v>0</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5</v>
      </c>
      <c r="N33" s="587">
        <f ca="1">SUMIF($Z$28:AD30,"tertiair",N28:N30)</f>
        <v>22.5</v>
      </c>
      <c r="O33" s="587">
        <f ca="1">SUMIF($Z$28:AE30,"tertiair",O28:O30)</f>
        <v>32.142857142857146</v>
      </c>
      <c r="P33" s="587">
        <f ca="1">SUMIF($Z$28:AF30,"tertiair",P28:P30)</f>
        <v>64.285714285714292</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6867</v>
      </c>
      <c r="N34" s="592">
        <f>SUMIF($Z$28:$Z$30,"landbouw",N28:N30)</f>
        <v>30901.5</v>
      </c>
      <c r="O34" s="592">
        <f>SUMIF($Z$28:$Z$30,"landbouw",O28:O30)</f>
        <v>44145</v>
      </c>
      <c r="P34" s="592">
        <f>SUMIF($Z$28:$Z$30,"landbouw",P28:P30)</f>
        <v>88290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36381.176470588238</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51973.10924369748</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2021-06-29T16:37:33Z</dcterms:modified>
</cp:coreProperties>
</file>