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I9" i="18"/>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E50" i="18"/>
  <c r="E8" i="18" s="1"/>
  <c r="E10" i="18" s="1"/>
  <c r="C50" i="18"/>
  <c r="N6" i="17"/>
  <c r="L6" i="17"/>
  <c r="F6" i="17"/>
  <c r="D6" i="17"/>
  <c r="C6" i="17"/>
  <c r="N16" i="16"/>
  <c r="L16" i="16"/>
  <c r="F16" i="16"/>
  <c r="D16" i="16"/>
  <c r="C16" i="16"/>
  <c r="B16" i="16"/>
  <c r="B13" i="15"/>
  <c r="I50" i="18" l="1"/>
  <c r="H8" i="18" s="1"/>
  <c r="H10" i="18" s="1"/>
  <c r="F50" i="18"/>
  <c r="D50" i="18"/>
  <c r="H50" i="18"/>
  <c r="J8" i="18" s="1"/>
  <c r="G50"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<sst xmlns="http://schemas.openxmlformats.org/spreadsheetml/2006/main" count="2592" uniqueCount="978">
  <si>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</si>
  <si>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</si>
  <si>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</si>
  <si>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</si>
  <si>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</si>
  <si>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</si>
  <si>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</si>
  <si>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</si>
  <si>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</si>
  <si>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</si>
  <si>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</si>
  <si>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</si>
  <si>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</si>
  <si>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</si>
  <si>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</si>
  <si>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</si>
  <si>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</si>
  <si>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</si>
  <si>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</si>
  <si>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</si>
  <si>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</si>
  <si>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</si>
  <si>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</si>
  <si>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</si>
  <si>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</si>
  <si>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</si>
  <si>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</si>
  <si>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</si>
  <si>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</si>
  <si>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</si>
  <si>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</si>
  <si>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</si>
  <si>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</si>
  <si>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</si>
  <si>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</si>
  <si>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</si>
  <si>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</si>
  <si>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</si>
  <si>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</si>
  <si>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</si>
  <si>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</si>
  <si>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</si>
  <si>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</si>
  <si>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</si>
  <si>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</si>
  <si>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</si>
  <si>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</si>
  <si>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</si>
  <si>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</si>
  <si>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</si>
  <si>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</si>
  <si>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</si>
  <si>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</si>
  <si>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</si>
  <si>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</si>
  <si>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</si>
  <si>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</si>
  <si>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</si>
  <si>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</si>
  <si>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</si>
  <si>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</si>
  <si>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</si>
  <si>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</si>
  <si>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</si>
  <si>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</si>
  <si>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</si>
  <si>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</si>
  <si>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</si>
  <si>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</si>
  <si>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</si>
  <si>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</si>
  <si>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</si>
  <si>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</si>
  <si>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</si>
  <si>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</si>
  <si>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</si>
  <si>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</si>
  <si>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</si>
  <si>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</si>
  <si>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</si>
  <si>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</si>
  <si>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</si>
  <si>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</si>
  <si>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</si>
  <si>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</si>
  <si>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</si>
  <si>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</si>
  <si>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</si>
  <si>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</si>
  <si>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</si>
  <si>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</si>
  <si>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</si>
  <si>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</si>
  <si>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</si>
  <si>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</si>
  <si>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</si>
  <si>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</si>
  <si>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</si>
  <si>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</si>
  <si>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</si>
  <si>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</si>
  <si>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</si>
  <si>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</si>
  <si>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</si>
  <si>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</si>
  <si>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</si>
  <si>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</si>
  <si>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</si>
  <si>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</si>
  <si>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</si>
  <si>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</si>
  <si>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</si>
  <si>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</si>
  <si>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</si>
  <si>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</si>
  <si>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</si>
  <si>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</si>
  <si>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</si>
  <si>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</si>
  <si>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</si>
  <si>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</si>
  <si>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</si>
  <si>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</si>
  <si>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</si>
  <si>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</si>
  <si>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</si>
  <si>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</si>
  <si>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</si>
  <si>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</si>
  <si>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</si>
  <si>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</si>
  <si>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</si>
  <si>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</si>
  <si>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</si>
  <si>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</si>
  <si>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</si>
  <si>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</si>
  <si>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</si>
  <si>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</si>
  <si>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</si>
  <si>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</si>
  <si>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</si>
  <si>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</si>
  <si>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</si>
  <si>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</si>
  <si>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</si>
  <si>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</si>
  <si>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</si>
  <si>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</si>
  <si>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</si>
  <si>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</si>
  <si>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</si>
  <si>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</si>
  <si>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</si>
  <si>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</si>
  <si>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</si>
  <si>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</si>
  <si>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</si>
  <si>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</si>
  <si>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</si>
  <si>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</si>
  <si>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</si>
  <si>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</si>
  <si>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</si>
  <si>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</si>
  <si>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</si>
  <si>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</si>
  <si>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</si>
  <si>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</si>
  <si>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</si>
  <si>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</si>
  <si>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</si>
  <si>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</si>
  <si>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</si>
  <si>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</si>
  <si>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</si>
  <si>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</si>
  <si>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</si>
  <si>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</si>
  <si>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</si>
  <si>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</si>
  <si>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</si>
  <si>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</si>
  <si>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</si>
  <si>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</si>
  <si>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</si>
  <si>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</si>
  <si>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</si>
  <si>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</si>
  <si>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</si>
  <si>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</si>
  <si>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</si>
  <si>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</si>
  <si>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</si>
  <si>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</si>
  <si>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</si>
  <si>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</si>
  <si>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</si>
  <si>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</si>
  <si>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</si>
  <si>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</si>
  <si>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</si>
  <si>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</si>
  <si>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</si>
  <si>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</si>
  <si>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</si>
  <si>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</si>
  <si>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</si>
  <si>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</si>
  <si>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</si>
  <si>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</si>
  <si>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</si>
  <si>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</si>
  <si>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</si>
  <si>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</si>
  <si>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</si>
  <si>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</si>
  <si>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</si>
  <si>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</si>
  <si>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</si>
  <si>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</si>
  <si>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</si>
  <si>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</si>
  <si>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</si>
  <si>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</si>
  <si>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</si>
  <si>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</si>
  <si>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</si>
  <si>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</si>
  <si>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</si>
  <si>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</si>
  <si>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</si>
  <si>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</si>
  <si>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</si>
  <si>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</si>
  <si>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</si>
  <si>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</si>
  <si>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</si>
  <si>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</si>
  <si>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</si>
  <si>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</si>
  <si>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</si>
  <si>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</si>
  <si>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</si>
  <si>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</si>
  <si>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</si>
  <si>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</si>
  <si>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</si>
  <si>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</si>
  <si>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</si>
  <si>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</si>
  <si>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</si>
  <si>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</si>
  <si>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</si>
  <si>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</si>
  <si>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</si>
  <si>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</si>
  <si>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</si>
  <si>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</si>
  <si>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</si>
  <si>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</si>
  <si>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</si>
  <si>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</si>
  <si>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</si>
  <si>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</si>
  <si>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</si>
  <si>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</si>
  <si>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</si>
  <si>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</si>
  <si>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</si>
  <si>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</si>
  <si>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</si>
  <si>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</si>
  <si>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</si>
  <si>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</si>
  <si>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</si>
  <si>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</si>
  <si>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</si>
  <si>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</si>
  <si>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</si>
  <si>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</si>
  <si>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</si>
  <si>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</si>
  <si>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</si>
  <si>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</si>
  <si>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</si>
  <si>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</si>
  <si>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</si>
  <si>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</si>
  <si>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</si>
  <si>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</si>
  <si>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</si>
  <si>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</si>
  <si>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</si>
  <si>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</si>
  <si>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</si>
  <si>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</si>
  <si>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</si>
  <si>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</si>
  <si>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</si>
  <si>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</si>
  <si>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</si>
  <si>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</si>
  <si>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</si>
  <si>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</si>
  <si>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</si>
  <si>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</si>
  <si>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</si>
  <si>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</si>
  <si>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</si>
  <si>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</si>
  <si>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</si>
  <si>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</si>
  <si>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</si>
  <si>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</si>
  <si>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</si>
  <si>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</si>
  <si>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</si>
  <si>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</si>
  <si>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</si>
  <si>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</si>
  <si>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</si>
  <si>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</si>
  <si>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</si>
  <si>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</si>
  <si>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</si>
  <si>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</si>
  <si>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</si>
  <si>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</si>
  <si>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</si>
  <si>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</si>
  <si>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</si>
  <si>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</si>
  <si>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</si>
  <si>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</si>
  <si>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</si>
  <si>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</si>
  <si>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</si>
  <si>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</si>
  <si>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</si>
  <si>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</si>
  <si>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</si>
  <si>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</si>
  <si>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</si>
  <si>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</si>
  <si>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</si>
  <si>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</si>
  <si>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</si>
  <si>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</si>
  <si>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</si>
  <si>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</si>
  <si>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</si>
  <si>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</si>
  <si>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</si>
  <si>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</si>
  <si>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</si>
  <si>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</si>
  <si>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</si>
  <si>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</si>
  <si>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</si>
  <si>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</si>
  <si>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</si>
  <si>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</si>
  <si>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</si>
  <si>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</si>
  <si>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</si>
  <si>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</si>
  <si>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</si>
  <si>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</si>
  <si>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</si>
  <si>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</si>
  <si>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</si>
  <si>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</si>
  <si>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</si>
  <si>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</si>
  <si>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</si>
  <si>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</si>
  <si>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</si>
  <si>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</si>
  <si>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</si>
  <si>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</si>
  <si>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</si>
  <si>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</si>
  <si>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</si>
  <si>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</si>
  <si>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</si>
  <si>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</si>
  <si>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</si>
  <si>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</si>
  <si>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</si>
  <si>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</si>
  <si>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</si>
  <si>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</si>
  <si>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</si>
  <si>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</si>
  <si>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</si>
  <si>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</si>
  <si>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</si>
  <si>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</si>
  <si>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</si>
  <si>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</si>
  <si>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</si>
  <si>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</si>
  <si>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</si>
  <si>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</si>
  <si>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</si>
  <si>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</si>
  <si>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</si>
  <si>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</si>
  <si>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</si>
  <si>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</si>
  <si>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</si>
  <si>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</si>
  <si>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</si>
  <si>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</si>
  <si>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</si>
  <si>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</si>
  <si>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</si>
  <si>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</si>
  <si>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</si>
  <si>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</si>
  <si>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</si>
  <si>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</si>
  <si>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</si>
  <si>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</si>
  <si>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</si>
  <si>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</si>
  <si>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</si>
  <si>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</si>
  <si>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</si>
  <si>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</si>
  <si>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</si>
  <si>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</si>
  <si>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</si>
  <si>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</si>
  <si>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</si>
  <si>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</si>
  <si>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</si>
  <si>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</si>
  <si>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</si>
  <si>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</si>
  <si>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</si>
  <si>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</si>
  <si>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</si>
  <si>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</si>
  <si>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</si>
  <si>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</si>
  <si>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</si>
  <si>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</si>
  <si>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</si>
  <si>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</si>
  <si>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</si>
  <si>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</si>
  <si>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</si>
  <si>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</si>
  <si>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</si>
  <si>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</si>
  <si>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</si>
  <si>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</si>
  <si>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</si>
  <si>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</si>
  <si>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</si>
  <si>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</si>
  <si>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</si>
  <si>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</si>
  <si>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</si>
  <si>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</si>
  <si>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</si>
  <si>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</si>
  <si>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</si>
  <si>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</si>
  <si>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</si>
  <si>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</si>
  <si>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</si>
  <si>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</si>
  <si>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</si>
  <si>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</si>
  <si>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</si>
  <si>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</si>
  <si>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</si>
  <si>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</si>
  <si>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</si>
  <si>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</si>
  <si>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</si>
  <si>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</si>
  <si>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</si>
  <si>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</si>
  <si>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</si>
  <si>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</si>
  <si>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</si>
  <si>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</si>
  <si>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</si>
  <si>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</si>
  <si>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</si>
  <si>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</si>
  <si>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</si>
  <si>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</si>
  <si>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</si>
  <si>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</si>
  <si>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</si>
  <si>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</si>
  <si>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</si>
  <si>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</si>
  <si>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</si>
  <si>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</si>
  <si>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</si>
  <si>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</si>
  <si>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</si>
  <si>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</si>
  <si>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</si>
  <si>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</si>
  <si>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</si>
  <si>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</si>
  <si>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</si>
  <si>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</si>
  <si>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</si>
  <si>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</si>
  <si>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</si>
  <si>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</si>
  <si>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</si>
  <si>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</si>
  <si>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</si>
  <si>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</si>
  <si>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</si>
  <si>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</si>
  <si>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</si>
  <si>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</si>
  <si>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</si>
  <si>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</si>
  <si>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</si>
  <si>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</si>
  <si>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</si>
  <si>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</si>
  <si>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</si>
  <si>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</si>
  <si>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</si>
  <si>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</si>
  <si>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</si>
  <si>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</si>
  <si>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</si>
  <si>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</si>
  <si>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</si>
  <si>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</si>
  <si>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</si>
  <si>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</si>
  <si>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</si>
  <si>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</si>
  <si>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</si>
  <si>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</si>
  <si>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</si>
  <si>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</si>
  <si>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</si>
  <si>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</si>
  <si>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</si>
  <si>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</si>
  <si>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</si>
  <si>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</si>
  <si>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</si>
  <si>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</si>
  <si>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</si>
  <si>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</si>
  <si>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</si>
  <si>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</si>
  <si>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</si>
  <si>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</si>
  <si>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</si>
  <si>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</si>
  <si>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</si>
  <si>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</si>
  <si>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</si>
  <si>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</si>
  <si>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</si>
  <si>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</si>
  <si>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</si>
  <si>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</si>
  <si>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</si>
  <si>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</si>
  <si>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</si>
  <si>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</si>
  <si>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</si>
  <si>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</si>
  <si>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</si>
  <si>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</si>
  <si>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</si>
  <si>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</si>
  <si>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</si>
  <si>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</si>
  <si>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</si>
  <si>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</si>
  <si>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</si>
  <si>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</si>
  <si>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</si>
  <si>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</si>
  <si>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</si>
  <si>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</si>
  <si>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</si>
  <si>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</si>
  <si>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</si>
  <si>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</si>
  <si>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</si>
  <si>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</si>
  <si>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</si>
  <si>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</si>
  <si>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</si>
  <si>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</si>
  <si>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</si>
  <si>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</si>
  <si>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</si>
  <si>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</si>
  <si>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</si>
  <si>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</si>
  <si>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</si>
  <si>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</si>
  <si>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</si>
  <si>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</si>
  <si>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</si>
  <si>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</si>
  <si>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</si>
  <si>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</si>
  <si>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</si>
  <si>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</si>
  <si>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</si>
  <si>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</si>
  <si>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</si>
  <si>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</si>
  <si>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</si>
  <si>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</si>
  <si>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</si>
  <si>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</si>
  <si>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</si>
  <si>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</si>
  <si>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</si>
  <si>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</si>
  <si>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</si>
  <si>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</si>
  <si>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</si>
  <si>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</si>
  <si>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</si>
  <si>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</si>
  <si>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</si>
  <si>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</si>
  <si>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</si>
  <si>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</si>
  <si>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</si>
  <si>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</si>
  <si>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</si>
  <si>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</si>
  <si>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</si>
  <si>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</si>
  <si>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</si>
  <si>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</si>
  <si>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</si>
  <si>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</si>
  <si>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</si>
  <si>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</si>
  <si>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</si>
  <si>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</si>
  <si>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</si>
  <si>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</si>
  <si>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</si>
  <si>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</si>
  <si>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</si>
  <si>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</si>
  <si>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</si>
  <si>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</si>
  <si>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</si>
  <si>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</si>
  <si>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</si>
  <si>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</si>
  <si>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</si>
  <si>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</si>
  <si>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</si>
  <si>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</si>
  <si>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</si>
  <si>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</si>
  <si>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</si>
  <si>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</si>
  <si>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</si>
  <si>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</si>
  <si>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</si>
  <si>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</si>
  <si>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</si>
  <si>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</si>
  <si>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</si>
  <si>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</si>
  <si>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</si>
  <si>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</si>
  <si>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</si>
  <si>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</si>
  <si>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</si>
  <si>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</si>
  <si>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</si>
  <si>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</si>
  <si>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</si>
  <si>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</si>
  <si>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</si>
  <si>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</si>
  <si>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</si>
  <si>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</si>
  <si>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</si>
  <si>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</si>
  <si>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</si>
  <si>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</si>
  <si>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</si>
  <si>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</si>
  <si>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</si>
  <si>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</si>
  <si>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</si>
  <si>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</si>
  <si>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</si>
  <si>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</si>
  <si>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</si>
  <si>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</si>
  <si>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</si>
  <si>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</si>
  <si>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</si>
  <si>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</si>
  <si>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</si>
  <si>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</si>
  <si>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</si>
  <si>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</si>
  <si>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</si>
  <si>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</si>
  <si>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</si>
  <si>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</si>
  <si>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</si>
  <si>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</si>
  <si>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</si>
  <si>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</si>
  <si>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</si>
  <si>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</si>
  <si>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</si>
  <si>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</si>
  <si>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</si>
  <si>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</si>
  <si>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</si>
  <si>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</si>
  <si>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</si>
  <si>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</si>
  <si>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</si>
  <si>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</si>
  <si>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</si>
  <si>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</si>
  <si>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</si>
  <si>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</si>
  <si>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</si>
  <si>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</si>
  <si>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</si>
  <si>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</si>
  <si>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</si>
  <si>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</si>
  <si>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</si>
  <si>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</si>
  <si>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</si>
  <si>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</si>
  <si>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</si>
  <si>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</si>
  <si>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</si>
  <si>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</si>
  <si>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</si>
  <si>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</si>
  <si>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</si>
  <si>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</si>
  <si>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</si>
  <si>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</si>
  <si>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</si>
  <si>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</si>
  <si>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</si>
  <si>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</si>
  <si>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</si>
  <si>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</si>
  <si>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</si>
  <si>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</si>
  <si>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</si>
  <si>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</si>
  <si>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</si>
  <si>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</si>
  <si>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</si>
  <si>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</si>
  <si>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</si>
  <si>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</si>
  <si>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</si>
  <si>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</si>
  <si>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</si>
  <si>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</si>
  <si>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</si>
  <si>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</si>
  <si>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</si>
  <si>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</si>
  <si>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</si>
  <si>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</si>
  <si>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</si>
  <si>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</si>
  <si>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</si>
  <si>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</si>
  <si>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</si>
  <si>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</si>
  <si>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</si>
  <si>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</si>
  <si>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</si>
  <si>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</si>
  <si>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</si>
  <si>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</si>
  <si>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</si>
  <si>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</si>
  <si>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</si>
  <si>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</si>
  <si>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</si>
  <si>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</si>
  <si>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</si>
  <si>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</si>
  <si>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</si>
  <si>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</si>
  <si>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</si>
  <si>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</si>
  <si>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</si>
  <si>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</si>
  <si>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</si>
  <si>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</si>
  <si>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</si>
  <si>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</si>
  <si>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</si>
  <si>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</si>
  <si>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</si>
  <si>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</si>
  <si>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</si>
  <si>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</si>
  <si>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</si>
  <si>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</si>
  <si>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</si>
  <si>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</si>
  <si>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</si>
  <si>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</si>
  <si>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</si>
  <si>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</si>
  <si>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</si>
  <si>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</si>
  <si>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</si>
  <si>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</si>
  <si>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</si>
  <si>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</si>
  <si>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</si>
  <si>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</si>
  <si>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</si>
  <si>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</si>
  <si>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</si>
  <si>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</si>
  <si>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</si>
  <si>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</si>
  <si>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</si>
  <si>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</si>
  <si>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</si>
  <si>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</si>
  <si>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</si>
  <si>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</si>
  <si>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</si>
  <si>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</si>
  <si>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</si>
  <si>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</si>
  <si>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</si>
  <si>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</si>
  <si>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</si>
  <si>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</si>
  <si>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</si>
  <si>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</si>
  <si>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</si>
  <si>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</si>
  <si>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</si>
  <si>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</si>
  <si>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</si>
  <si>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</si>
  <si>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</si>
  <si>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</si>
  <si>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</si>
  <si>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</si>
  <si>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</si>
  <si>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</si>
  <si>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</si>
  <si>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</si>
  <si>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</si>
  <si>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</si>
  <si>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</si>
  <si>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</si>
  <si>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</si>
  <si>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</si>
  <si>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</si>
  <si>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</si>
  <si>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</si>
  <si>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</si>
  <si>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</si>
  <si>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</si>
  <si>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</si>
  <si>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</si>
  <si>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</si>
  <si>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</si>
  <si>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</si>
  <si>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</si>
  <si>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</si>
  <si>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</si>
  <si>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</si>
  <si>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</si>
  <si>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</si>
  <si>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</si>
  <si>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</si>
  <si>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</si>
  <si>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</si>
  <si>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</si>
  <si>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</si>
  <si>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</si>
  <si>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</si>
  <si>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</si>
  <si>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</si>
  <si>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</si>
  <si>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</si>
  <si>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</si>
  <si>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</si>
  <si>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</si>
  <si>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</si>
  <si>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</si>
  <si>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</si>
  <si>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</si>
  <si>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</si>
  <si>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</si>
  <si>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</si>
  <si>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</si>
  <si>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</si>
  <si>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</si>
  <si>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</si>
  <si>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</si>
  <si>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</si>
  <si>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</si>
  <si>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</si>
  <si>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</si>
  <si>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</si>
  <si>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</si>
  <si>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</si>
  <si>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</si>
  <si>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</si>
  <si>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</si>
  <si>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</si>
  <si>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</si>
  <si>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</si>
  <si>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</si>
  <si>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</si>
  <si>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</si>
  <si>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</si>
  <si>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</si>
  <si>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</si>
  <si>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</si>
  <si>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</si>
  <si>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</si>
  <si>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</si>
  <si>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</si>
  <si>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</si>
  <si>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</si>
  <si>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</si>
  <si>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</si>
  <si>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</si>
  <si>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</si>
  <si>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11052</t>
  </si>
  <si>
    <t>WOMMELGEM</t>
  </si>
  <si>
    <t>Paarden&amp;pony's 200 - 600 kg</t>
  </si>
  <si>
    <t>Paarden&amp;pony's &lt; 200 kg</t>
  </si>
  <si>
    <t>Fluvius</t>
  </si>
  <si>
    <t>referentietaak LNE (2017); Jaarverslag De Lijn</t>
  </si>
  <si>
    <t>Albrecht C.V.</t>
  </si>
  <si>
    <t>Heyaardstraat 5, 2160 Wommelgem</t>
  </si>
  <si>
    <t>WKK-0143 Albrecht C.V.</t>
  </si>
  <si>
    <t>interne verbrandingsmotor</t>
  </si>
  <si>
    <t>WKK interne verbrandinsgmotor (gas)</t>
  </si>
  <si>
    <t>eilandwerking</t>
  </si>
  <si>
    <t>Pieting Power BVBA</t>
  </si>
  <si>
    <t>Pietingbaan 105, 2160 Wommelgem</t>
  </si>
  <si>
    <t>WKK-0133 Groeikracht Wommelgem</t>
  </si>
  <si>
    <t>IVEKA</t>
  </si>
  <si>
    <t>Dirk Mermans</t>
  </si>
  <si>
    <t>Vremdesteenweg 120 , 2160 Wommelgem</t>
  </si>
  <si>
    <t>WKK-0286 Dirk Mermans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</si>
</sst>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11052</v>
      </c>
      <c r="B6" s="386"/>
      <c r="C6" s="387"/>
    </row>
    <row r="7" spans="1:7" s="384" customFormat="1" ht="15.75" customHeight="1">
      <c r="A7" s="388" t="str">
        <f>txtMunicipality</f>
        <v>WOMMELGEM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30379.876599093648</v>
      </c>
      <c r="D10" s="676">
        <f ca="1">tertiair!C16</f>
        <v>0</v>
      </c>
      <c r="E10" s="676">
        <f ca="1">tertiair!D16</f>
        <v>36736.281554517227</v>
      </c>
      <c r="F10" s="676">
        <f>tertiair!E16</f>
        <v>207.86991792995144</v>
      </c>
      <c r="G10" s="676">
        <f ca="1">tertiair!F16</f>
        <v>5827.8700788036722</v>
      </c>
      <c r="H10" s="676">
        <f>tertiair!G16</f>
        <v>0</v>
      </c>
      <c r="I10" s="676">
        <f>tertiair!H16</f>
        <v>0</v>
      </c>
      <c r="J10" s="676">
        <f>tertiair!I16</f>
        <v>0</v>
      </c>
      <c r="K10" s="676">
        <f>tertiair!J16</f>
        <v>0</v>
      </c>
      <c r="L10" s="676">
        <f>tertiair!K16</f>
        <v>0</v>
      </c>
      <c r="M10" s="676">
        <f ca="1">tertiair!L16</f>
        <v>0</v>
      </c>
      <c r="N10" s="676">
        <f>tertiair!M16</f>
        <v>0</v>
      </c>
      <c r="O10" s="676">
        <f ca="1">tertiair!N16</f>
        <v>1562.5334731023297</v>
      </c>
      <c r="P10" s="676">
        <f>tertiair!O16</f>
        <v>1.5633333333333335</v>
      </c>
      <c r="Q10" s="677">
        <f>tertiair!P16</f>
        <v>19.066666666666666</v>
      </c>
      <c r="R10" s="679">
        <f ca="1">SUM(C10:Q10)</f>
        <v>74735.061623446833</v>
      </c>
      <c r="S10" s="68"/>
    </row>
    <row r="11" spans="1:19" s="445" customFormat="1">
      <c r="A11" s="791" t="s">
        <v>220</v>
      </c>
      <c r="B11" s="796"/>
      <c r="C11" s="676">
        <f>huishoudens!B8</f>
        <v>22719.648120019134</v>
      </c>
      <c r="D11" s="676">
        <f>huishoudens!C8</f>
        <v>0</v>
      </c>
      <c r="E11" s="676">
        <f>huishoudens!D8</f>
        <v>67272.542144514431</v>
      </c>
      <c r="F11" s="676">
        <f>huishoudens!E8</f>
        <v>597.8274217025986</v>
      </c>
      <c r="G11" s="676">
        <f>huishoudens!F8</f>
        <v>18226.022417832828</v>
      </c>
      <c r="H11" s="676">
        <f>huishoudens!G8</f>
        <v>0</v>
      </c>
      <c r="I11" s="676">
        <f>huishoudens!H8</f>
        <v>0</v>
      </c>
      <c r="J11" s="676">
        <f>huishoudens!I8</f>
        <v>0</v>
      </c>
      <c r="K11" s="676">
        <f>huishoudens!J8</f>
        <v>330.70482598999558</v>
      </c>
      <c r="L11" s="676">
        <f>huishoudens!K8</f>
        <v>0</v>
      </c>
      <c r="M11" s="676">
        <f>huishoudens!L8</f>
        <v>0</v>
      </c>
      <c r="N11" s="676">
        <f>huishoudens!M8</f>
        <v>0</v>
      </c>
      <c r="O11" s="676">
        <f>huishoudens!N8</f>
        <v>6796.9578892287063</v>
      </c>
      <c r="P11" s="676">
        <f>huishoudens!O8</f>
        <v>107.87</v>
      </c>
      <c r="Q11" s="677">
        <f>huishoudens!P8</f>
        <v>133.46666666666667</v>
      </c>
      <c r="R11" s="679">
        <f>SUM(C11:Q11)</f>
        <v>116185.03948595434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48591.516496243261</v>
      </c>
      <c r="D13" s="676">
        <f>industrie!C18</f>
        <v>26987.142857142859</v>
      </c>
      <c r="E13" s="676">
        <f>industrie!D18</f>
        <v>18326.9886136567</v>
      </c>
      <c r="F13" s="676">
        <f>industrie!E18</f>
        <v>359.3595458946786</v>
      </c>
      <c r="G13" s="676">
        <f>industrie!F18</f>
        <v>4744.3999111504136</v>
      </c>
      <c r="H13" s="676">
        <f>industrie!G18</f>
        <v>0</v>
      </c>
      <c r="I13" s="676">
        <f>industrie!H18</f>
        <v>0</v>
      </c>
      <c r="J13" s="676">
        <f>industrie!I18</f>
        <v>0</v>
      </c>
      <c r="K13" s="676">
        <f>industrie!J18</f>
        <v>36.802328541148491</v>
      </c>
      <c r="L13" s="676">
        <f>industrie!K18</f>
        <v>0</v>
      </c>
      <c r="M13" s="676">
        <f>industrie!L18</f>
        <v>0</v>
      </c>
      <c r="N13" s="676">
        <f>industrie!M18</f>
        <v>0</v>
      </c>
      <c r="O13" s="676">
        <f>industrie!N18</f>
        <v>1710.3334270321366</v>
      </c>
      <c r="P13" s="676">
        <f>industrie!O18</f>
        <v>0</v>
      </c>
      <c r="Q13" s="677">
        <f>industrie!P18</f>
        <v>0</v>
      </c>
      <c r="R13" s="679">
        <f>SUM(C13:Q13)</f>
        <v>100756.54317966118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101691.04121535605</v>
      </c>
      <c r="D16" s="709">
        <f t="shared" ref="D16:R16" ca="1" si="0">SUM(D9:D15)</f>
        <v>26987.142857142859</v>
      </c>
      <c r="E16" s="709">
        <f t="shared" ca="1" si="0"/>
        <v>122335.81231268836</v>
      </c>
      <c r="F16" s="709">
        <f t="shared" si="0"/>
        <v>1165.0568855272286</v>
      </c>
      <c r="G16" s="709">
        <f t="shared" ca="1" si="0"/>
        <v>28798.292407786914</v>
      </c>
      <c r="H16" s="709">
        <f t="shared" si="0"/>
        <v>0</v>
      </c>
      <c r="I16" s="709">
        <f t="shared" si="0"/>
        <v>0</v>
      </c>
      <c r="J16" s="709">
        <f t="shared" si="0"/>
        <v>0</v>
      </c>
      <c r="K16" s="709">
        <f t="shared" si="0"/>
        <v>367.50715453114407</v>
      </c>
      <c r="L16" s="709">
        <f t="shared" si="0"/>
        <v>0</v>
      </c>
      <c r="M16" s="709">
        <f t="shared" ca="1" si="0"/>
        <v>0</v>
      </c>
      <c r="N16" s="709">
        <f t="shared" si="0"/>
        <v>0</v>
      </c>
      <c r="O16" s="709">
        <f t="shared" ca="1" si="0"/>
        <v>10069.824789363174</v>
      </c>
      <c r="P16" s="709">
        <f t="shared" si="0"/>
        <v>109.43333333333334</v>
      </c>
      <c r="Q16" s="709">
        <f t="shared" si="0"/>
        <v>152.53333333333333</v>
      </c>
      <c r="R16" s="709">
        <f t="shared" ca="1" si="0"/>
        <v>291676.64428906236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12.356200161819503</v>
      </c>
      <c r="D19" s="676">
        <f>transport!C54</f>
        <v>0</v>
      </c>
      <c r="E19" s="676">
        <f>transport!D54</f>
        <v>0</v>
      </c>
      <c r="F19" s="676">
        <f>transport!E54</f>
        <v>0</v>
      </c>
      <c r="G19" s="676">
        <f>transport!F54</f>
        <v>0</v>
      </c>
      <c r="H19" s="676">
        <f>transport!G54</f>
        <v>2464.4684833309716</v>
      </c>
      <c r="I19" s="676">
        <f>transport!H54</f>
        <v>0</v>
      </c>
      <c r="J19" s="676">
        <f>transport!I54</f>
        <v>0</v>
      </c>
      <c r="K19" s="676">
        <f>transport!J54</f>
        <v>0</v>
      </c>
      <c r="L19" s="676">
        <f>transport!K54</f>
        <v>0</v>
      </c>
      <c r="M19" s="676">
        <f>transport!L54</f>
        <v>0</v>
      </c>
      <c r="N19" s="676">
        <f>transport!M54</f>
        <v>108.92688215695436</v>
      </c>
      <c r="O19" s="676">
        <f>transport!N54</f>
        <v>0</v>
      </c>
      <c r="P19" s="676">
        <f>transport!O54</f>
        <v>0</v>
      </c>
      <c r="Q19" s="677">
        <f>transport!P54</f>
        <v>0</v>
      </c>
      <c r="R19" s="679">
        <f>SUM(C19:Q19)</f>
        <v>2585.7515656497453</v>
      </c>
      <c r="S19" s="68"/>
    </row>
    <row r="20" spans="1:19" s="445" customFormat="1">
      <c r="A20" s="791" t="s">
        <v>302</v>
      </c>
      <c r="B20" s="796"/>
      <c r="C20" s="676">
        <f>transport!B14</f>
        <v>9.3210587141294887</v>
      </c>
      <c r="D20" s="676">
        <f>transport!C14</f>
        <v>0</v>
      </c>
      <c r="E20" s="676">
        <f>transport!D14</f>
        <v>10.138569966913259</v>
      </c>
      <c r="F20" s="676">
        <f>transport!E14</f>
        <v>764.77641509102739</v>
      </c>
      <c r="G20" s="676">
        <f>transport!F14</f>
        <v>0</v>
      </c>
      <c r="H20" s="676">
        <f>transport!G14</f>
        <v>216587.37744160564</v>
      </c>
      <c r="I20" s="676">
        <f>transport!H14</f>
        <v>25583.355481872914</v>
      </c>
      <c r="J20" s="676">
        <f>transport!I14</f>
        <v>0</v>
      </c>
      <c r="K20" s="676">
        <f>transport!J14</f>
        <v>0</v>
      </c>
      <c r="L20" s="676">
        <f>transport!K14</f>
        <v>0</v>
      </c>
      <c r="M20" s="676">
        <f>transport!L14</f>
        <v>0</v>
      </c>
      <c r="N20" s="676">
        <f>transport!M14</f>
        <v>10809.044813304425</v>
      </c>
      <c r="O20" s="676">
        <f>transport!N14</f>
        <v>0</v>
      </c>
      <c r="P20" s="676">
        <f>transport!O14</f>
        <v>0</v>
      </c>
      <c r="Q20" s="677">
        <f>transport!P14</f>
        <v>0</v>
      </c>
      <c r="R20" s="679">
        <f>SUM(C20:Q20)</f>
        <v>253764.01378055505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21.677258875948993</v>
      </c>
      <c r="D22" s="794">
        <f t="shared" ref="D22:R22" si="1">SUM(D18:D21)</f>
        <v>0</v>
      </c>
      <c r="E22" s="794">
        <f t="shared" si="1"/>
        <v>10.138569966913259</v>
      </c>
      <c r="F22" s="794">
        <f t="shared" si="1"/>
        <v>764.77641509102739</v>
      </c>
      <c r="G22" s="794">
        <f t="shared" si="1"/>
        <v>0</v>
      </c>
      <c r="H22" s="794">
        <f t="shared" si="1"/>
        <v>219051.84592493661</v>
      </c>
      <c r="I22" s="794">
        <f t="shared" si="1"/>
        <v>25583.355481872914</v>
      </c>
      <c r="J22" s="794">
        <f t="shared" si="1"/>
        <v>0</v>
      </c>
      <c r="K22" s="794">
        <f t="shared" si="1"/>
        <v>0</v>
      </c>
      <c r="L22" s="794">
        <f t="shared" si="1"/>
        <v>0</v>
      </c>
      <c r="M22" s="794">
        <f t="shared" si="1"/>
        <v>0</v>
      </c>
      <c r="N22" s="794">
        <f t="shared" si="1"/>
        <v>10917.97169546138</v>
      </c>
      <c r="O22" s="794">
        <f t="shared" si="1"/>
        <v>0</v>
      </c>
      <c r="P22" s="794">
        <f t="shared" si="1"/>
        <v>0</v>
      </c>
      <c r="Q22" s="794">
        <f t="shared" si="1"/>
        <v>0</v>
      </c>
      <c r="R22" s="794">
        <f t="shared" si="1"/>
        <v>256349.7653462048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480.08851885548199</v>
      </c>
      <c r="D24" s="676">
        <f>+landbouw!C8</f>
        <v>10131.428571428571</v>
      </c>
      <c r="E24" s="676">
        <f>+landbouw!D8</f>
        <v>0</v>
      </c>
      <c r="F24" s="676">
        <f>+landbouw!E8</f>
        <v>4.5227555174780418</v>
      </c>
      <c r="G24" s="676">
        <f>+landbouw!F8</f>
        <v>1566.688164412195</v>
      </c>
      <c r="H24" s="676">
        <f>+landbouw!G8</f>
        <v>0</v>
      </c>
      <c r="I24" s="676">
        <f>+landbouw!H8</f>
        <v>0</v>
      </c>
      <c r="J24" s="676">
        <f>+landbouw!I8</f>
        <v>0</v>
      </c>
      <c r="K24" s="676">
        <f>+landbouw!J8</f>
        <v>59.389284932530281</v>
      </c>
      <c r="L24" s="676">
        <f>+landbouw!K8</f>
        <v>0</v>
      </c>
      <c r="M24" s="676">
        <f>+landbouw!L8</f>
        <v>0</v>
      </c>
      <c r="N24" s="676">
        <f>+landbouw!M8</f>
        <v>0</v>
      </c>
      <c r="O24" s="676">
        <f>+landbouw!N8</f>
        <v>0</v>
      </c>
      <c r="P24" s="676">
        <f>+landbouw!O8</f>
        <v>0</v>
      </c>
      <c r="Q24" s="677">
        <f>+landbouw!P8</f>
        <v>0</v>
      </c>
      <c r="R24" s="679">
        <f>SUM(C24:Q24)</f>
        <v>12242.117295146258</v>
      </c>
      <c r="S24" s="68"/>
    </row>
    <row r="25" spans="1:19" s="445" customFormat="1" ht="15" thickBot="1">
      <c r="A25" s="813" t="s">
        <v>879</v>
      </c>
      <c r="B25" s="979"/>
      <c r="C25" s="980">
        <f>IF(Onbekend_ele_kWh="---",0,Onbekend_ele_kWh)/1000+IF(REST_rest_ele_kWh="---",0,REST_rest_ele_kWh)/1000</f>
        <v>841.01786171669505</v>
      </c>
      <c r="D25" s="980"/>
      <c r="E25" s="980">
        <f>IF(onbekend_gas_kWh="---",0,onbekend_gas_kWh)/1000+IF(REST_rest_gas_kWh="---",0,REST_rest_gas_kWh)/1000</f>
        <v>2423.1334472906397</v>
      </c>
      <c r="F25" s="980"/>
      <c r="G25" s="980"/>
      <c r="H25" s="980"/>
      <c r="I25" s="980"/>
      <c r="J25" s="980"/>
      <c r="K25" s="980"/>
      <c r="L25" s="980"/>
      <c r="M25" s="980"/>
      <c r="N25" s="980"/>
      <c r="O25" s="980"/>
      <c r="P25" s="980"/>
      <c r="Q25" s="981"/>
      <c r="R25" s="679">
        <f>SUM(C25:Q25)</f>
        <v>3264.1513090073349</v>
      </c>
      <c r="S25" s="68"/>
    </row>
    <row r="26" spans="1:19" s="445" customFormat="1" ht="15.75" thickBot="1">
      <c r="A26" s="682" t="s">
        <v>880</v>
      </c>
      <c r="B26" s="799"/>
      <c r="C26" s="794">
        <f>SUM(C24:C25)</f>
        <v>1321.1063805721769</v>
      </c>
      <c r="D26" s="794">
        <f t="shared" ref="D26:R26" si="2">SUM(D24:D25)</f>
        <v>10131.428571428571</v>
      </c>
      <c r="E26" s="794">
        <f t="shared" si="2"/>
        <v>2423.1334472906397</v>
      </c>
      <c r="F26" s="794">
        <f t="shared" si="2"/>
        <v>4.5227555174780418</v>
      </c>
      <c r="G26" s="794">
        <f t="shared" si="2"/>
        <v>1566.688164412195</v>
      </c>
      <c r="H26" s="794">
        <f t="shared" si="2"/>
        <v>0</v>
      </c>
      <c r="I26" s="794">
        <f t="shared" si="2"/>
        <v>0</v>
      </c>
      <c r="J26" s="794">
        <f t="shared" si="2"/>
        <v>0</v>
      </c>
      <c r="K26" s="794">
        <f t="shared" si="2"/>
        <v>59.389284932530281</v>
      </c>
      <c r="L26" s="794">
        <f t="shared" si="2"/>
        <v>0</v>
      </c>
      <c r="M26" s="794">
        <f t="shared" si="2"/>
        <v>0</v>
      </c>
      <c r="N26" s="794">
        <f t="shared" si="2"/>
        <v>0</v>
      </c>
      <c r="O26" s="794">
        <f t="shared" si="2"/>
        <v>0</v>
      </c>
      <c r="P26" s="794">
        <f t="shared" si="2"/>
        <v>0</v>
      </c>
      <c r="Q26" s="794">
        <f t="shared" si="2"/>
        <v>0</v>
      </c>
      <c r="R26" s="794">
        <f t="shared" si="2"/>
        <v>15506.268604153593</v>
      </c>
      <c r="S26" s="68"/>
    </row>
    <row r="27" spans="1:19" s="445" customFormat="1" ht="17.25" thickTop="1" thickBot="1">
      <c r="A27" s="683" t="s">
        <v>115</v>
      </c>
      <c r="B27" s="786"/>
      <c r="C27" s="684">
        <f ca="1">C22+C16+C26</f>
        <v>103033.82485480417</v>
      </c>
      <c r="D27" s="684">
        <f t="shared" ref="D27:R27" ca="1" si="3">D22+D16+D26</f>
        <v>37118.571428571428</v>
      </c>
      <c r="E27" s="684">
        <f t="shared" ca="1" si="3"/>
        <v>124769.08432994592</v>
      </c>
      <c r="F27" s="684">
        <f t="shared" si="3"/>
        <v>1934.3560561357342</v>
      </c>
      <c r="G27" s="684">
        <f t="shared" ca="1" si="3"/>
        <v>30364.980572199107</v>
      </c>
      <c r="H27" s="684">
        <f t="shared" si="3"/>
        <v>219051.84592493661</v>
      </c>
      <c r="I27" s="684">
        <f t="shared" si="3"/>
        <v>25583.355481872914</v>
      </c>
      <c r="J27" s="684">
        <f t="shared" si="3"/>
        <v>0</v>
      </c>
      <c r="K27" s="684">
        <f t="shared" si="3"/>
        <v>426.89643946367437</v>
      </c>
      <c r="L27" s="684">
        <f t="shared" si="3"/>
        <v>0</v>
      </c>
      <c r="M27" s="684">
        <f t="shared" ca="1" si="3"/>
        <v>0</v>
      </c>
      <c r="N27" s="684">
        <f t="shared" si="3"/>
        <v>10917.97169546138</v>
      </c>
      <c r="O27" s="684">
        <f t="shared" ca="1" si="3"/>
        <v>10069.824789363174</v>
      </c>
      <c r="P27" s="684">
        <f t="shared" si="3"/>
        <v>109.43333333333334</v>
      </c>
      <c r="Q27" s="684">
        <f t="shared" si="3"/>
        <v>152.53333333333333</v>
      </c>
      <c r="R27" s="684">
        <f t="shared" ca="1" si="3"/>
        <v>563532.67823942075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6570.9575834519765</v>
      </c>
      <c r="D40" s="676">
        <f ca="1">tertiair!C20</f>
        <v>0</v>
      </c>
      <c r="E40" s="676">
        <f ca="1">tertiair!D20</f>
        <v>7420.7288740124804</v>
      </c>
      <c r="F40" s="676">
        <f>tertiair!E20</f>
        <v>47.186471370098978</v>
      </c>
      <c r="G40" s="676">
        <f ca="1">tertiair!F20</f>
        <v>1556.0413110405805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15594.914239875137</v>
      </c>
    </row>
    <row r="41" spans="1:18">
      <c r="A41" s="804" t="s">
        <v>220</v>
      </c>
      <c r="B41" s="811"/>
      <c r="C41" s="676">
        <f ca="1">huishoudens!B12</f>
        <v>4914.103045173465</v>
      </c>
      <c r="D41" s="676">
        <f ca="1">huishoudens!C12</f>
        <v>0</v>
      </c>
      <c r="E41" s="676">
        <f>huishoudens!D12</f>
        <v>13589.053513191917</v>
      </c>
      <c r="F41" s="676">
        <f>huishoudens!E12</f>
        <v>135.70682472648988</v>
      </c>
      <c r="G41" s="676">
        <f>huishoudens!F12</f>
        <v>4866.347985561365</v>
      </c>
      <c r="H41" s="676">
        <f>huishoudens!G12</f>
        <v>0</v>
      </c>
      <c r="I41" s="676">
        <f>huishoudens!H12</f>
        <v>0</v>
      </c>
      <c r="J41" s="676">
        <f>huishoudens!I12</f>
        <v>0</v>
      </c>
      <c r="K41" s="676">
        <f>huishoudens!J12</f>
        <v>117.06950840045843</v>
      </c>
      <c r="L41" s="676">
        <f>huishoudens!K12</f>
        <v>0</v>
      </c>
      <c r="M41" s="676">
        <f>huishoudens!L12</f>
        <v>0</v>
      </c>
      <c r="N41" s="676">
        <f>huishoudens!M12</f>
        <v>0</v>
      </c>
      <c r="O41" s="676">
        <f>huishoudens!N12</f>
        <v>0</v>
      </c>
      <c r="P41" s="676">
        <f>huishoudens!O12</f>
        <v>0</v>
      </c>
      <c r="Q41" s="751">
        <f>huishoudens!P12</f>
        <v>0</v>
      </c>
      <c r="R41" s="832">
        <f t="shared" ca="1" si="4"/>
        <v>23622.280877053698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10510.009570675717</v>
      </c>
      <c r="D43" s="676">
        <f ca="1">industrie!C22</f>
        <v>6413.4151260504223</v>
      </c>
      <c r="E43" s="676">
        <f>industrie!D22</f>
        <v>3702.0516999586539</v>
      </c>
      <c r="F43" s="676">
        <f>industrie!E22</f>
        <v>81.574616918092048</v>
      </c>
      <c r="G43" s="676">
        <f>industrie!F22</f>
        <v>1266.7547762771605</v>
      </c>
      <c r="H43" s="676">
        <f>industrie!G22</f>
        <v>0</v>
      </c>
      <c r="I43" s="676">
        <f>industrie!H22</f>
        <v>0</v>
      </c>
      <c r="J43" s="676">
        <f>industrie!I22</f>
        <v>0</v>
      </c>
      <c r="K43" s="676">
        <f>industrie!J22</f>
        <v>13.028024303566564</v>
      </c>
      <c r="L43" s="676">
        <f>industrie!K22</f>
        <v>0</v>
      </c>
      <c r="M43" s="676">
        <f>industrie!L22</f>
        <v>0</v>
      </c>
      <c r="N43" s="676">
        <f>industrie!M22</f>
        <v>0</v>
      </c>
      <c r="O43" s="676">
        <f>industrie!N22</f>
        <v>0</v>
      </c>
      <c r="P43" s="676">
        <f>industrie!O22</f>
        <v>0</v>
      </c>
      <c r="Q43" s="751">
        <f>industrie!P22</f>
        <v>0</v>
      </c>
      <c r="R43" s="831">
        <f t="shared" ca="1" si="4"/>
        <v>21986.833814183614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21995.070199301157</v>
      </c>
      <c r="D46" s="709">
        <f t="shared" ref="D46:Q46" ca="1" si="5">SUM(D39:D45)</f>
        <v>6413.4151260504223</v>
      </c>
      <c r="E46" s="709">
        <f t="shared" ca="1" si="5"/>
        <v>24711.83408716305</v>
      </c>
      <c r="F46" s="709">
        <f t="shared" si="5"/>
        <v>264.4679130146809</v>
      </c>
      <c r="G46" s="709">
        <f t="shared" ca="1" si="5"/>
        <v>7689.1440728791058</v>
      </c>
      <c r="H46" s="709">
        <f t="shared" si="5"/>
        <v>0</v>
      </c>
      <c r="I46" s="709">
        <f t="shared" si="5"/>
        <v>0</v>
      </c>
      <c r="J46" s="709">
        <f t="shared" si="5"/>
        <v>0</v>
      </c>
      <c r="K46" s="709">
        <f t="shared" si="5"/>
        <v>130.09753270402499</v>
      </c>
      <c r="L46" s="709">
        <f t="shared" si="5"/>
        <v>0</v>
      </c>
      <c r="M46" s="709">
        <f t="shared" ca="1" si="5"/>
        <v>0</v>
      </c>
      <c r="N46" s="709">
        <f t="shared" si="5"/>
        <v>0</v>
      </c>
      <c r="O46" s="709">
        <f t="shared" ca="1" si="5"/>
        <v>0</v>
      </c>
      <c r="P46" s="709">
        <f t="shared" si="5"/>
        <v>0</v>
      </c>
      <c r="Q46" s="709">
        <f t="shared" si="5"/>
        <v>0</v>
      </c>
      <c r="R46" s="709">
        <f ca="1">SUM(R39:R45)</f>
        <v>61204.028931112451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2.6725607950093084</v>
      </c>
      <c r="D49" s="676">
        <f ca="1">transport!C58</f>
        <v>0</v>
      </c>
      <c r="E49" s="676">
        <f>transport!D58</f>
        <v>0</v>
      </c>
      <c r="F49" s="676">
        <f>transport!E58</f>
        <v>0</v>
      </c>
      <c r="G49" s="676">
        <f>transport!F58</f>
        <v>0</v>
      </c>
      <c r="H49" s="676">
        <f>transport!G58</f>
        <v>658.01308504936947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660.68564584437877</v>
      </c>
    </row>
    <row r="50" spans="1:18">
      <c r="A50" s="807" t="s">
        <v>302</v>
      </c>
      <c r="B50" s="817"/>
      <c r="C50" s="986">
        <f ca="1">transport!B18</f>
        <v>2.0160806527185691</v>
      </c>
      <c r="D50" s="986">
        <f>transport!C18</f>
        <v>0</v>
      </c>
      <c r="E50" s="986">
        <f>transport!D18</f>
        <v>2.0479911333164784</v>
      </c>
      <c r="F50" s="986">
        <f>transport!E18</f>
        <v>173.60424622566322</v>
      </c>
      <c r="G50" s="986">
        <f>transport!F18</f>
        <v>0</v>
      </c>
      <c r="H50" s="986">
        <f>transport!G18</f>
        <v>57828.829776908708</v>
      </c>
      <c r="I50" s="986">
        <f>transport!H18</f>
        <v>6370.2555149863556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64376.753609906758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4.6886414477278775</v>
      </c>
      <c r="D52" s="709">
        <f t="shared" ref="D52:Q52" ca="1" si="6">SUM(D48:D51)</f>
        <v>0</v>
      </c>
      <c r="E52" s="709">
        <f t="shared" si="6"/>
        <v>2.0479911333164784</v>
      </c>
      <c r="F52" s="709">
        <f t="shared" si="6"/>
        <v>173.60424622566322</v>
      </c>
      <c r="G52" s="709">
        <f t="shared" si="6"/>
        <v>0</v>
      </c>
      <c r="H52" s="709">
        <f t="shared" si="6"/>
        <v>58486.842861958074</v>
      </c>
      <c r="I52" s="709">
        <f t="shared" si="6"/>
        <v>6370.2555149863556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65037.439255751138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103.83983237758683</v>
      </c>
      <c r="D54" s="986">
        <f ca="1">+landbouw!C12</f>
        <v>2407.7042016806727</v>
      </c>
      <c r="E54" s="986">
        <f>+landbouw!D12</f>
        <v>0</v>
      </c>
      <c r="F54" s="986">
        <f>+landbouw!E12</f>
        <v>1.0266655024675155</v>
      </c>
      <c r="G54" s="986">
        <f>+landbouw!F12</f>
        <v>418.30573989805606</v>
      </c>
      <c r="H54" s="986">
        <f>+landbouw!G12</f>
        <v>0</v>
      </c>
      <c r="I54" s="986">
        <f>+landbouw!H12</f>
        <v>0</v>
      </c>
      <c r="J54" s="986">
        <f>+landbouw!I12</f>
        <v>0</v>
      </c>
      <c r="K54" s="986">
        <f>+landbouw!J12</f>
        <v>21.023806866115716</v>
      </c>
      <c r="L54" s="986">
        <f>+landbouw!K12</f>
        <v>0</v>
      </c>
      <c r="M54" s="986">
        <f>+landbouw!L12</f>
        <v>0</v>
      </c>
      <c r="N54" s="986">
        <f>+landbouw!M12</f>
        <v>0</v>
      </c>
      <c r="O54" s="986">
        <f>+landbouw!N12</f>
        <v>0</v>
      </c>
      <c r="P54" s="986">
        <f>+landbouw!O12</f>
        <v>0</v>
      </c>
      <c r="Q54" s="987">
        <f>+landbouw!P12</f>
        <v>0</v>
      </c>
      <c r="R54" s="708">
        <f ca="1">SUM(C54:Q54)</f>
        <v>2951.9002463248985</v>
      </c>
    </row>
    <row r="55" spans="1:18" ht="15" thickBot="1">
      <c r="A55" s="807" t="s">
        <v>879</v>
      </c>
      <c r="B55" s="817"/>
      <c r="C55" s="986">
        <f ca="1">C25*'EF ele_warmte'!B12</f>
        <v>181.90635759299809</v>
      </c>
      <c r="D55" s="986"/>
      <c r="E55" s="986">
        <f>E25*EF_CO2_aardgas</f>
        <v>489.47295635270922</v>
      </c>
      <c r="F55" s="986"/>
      <c r="G55" s="986"/>
      <c r="H55" s="986"/>
      <c r="I55" s="986"/>
      <c r="J55" s="986"/>
      <c r="K55" s="986"/>
      <c r="L55" s="986"/>
      <c r="M55" s="986"/>
      <c r="N55" s="986"/>
      <c r="O55" s="986"/>
      <c r="P55" s="986"/>
      <c r="Q55" s="987"/>
      <c r="R55" s="708">
        <f ca="1">SUM(C55:Q55)</f>
        <v>671.37931394570728</v>
      </c>
    </row>
    <row r="56" spans="1:18" ht="15.75" thickBot="1">
      <c r="A56" s="805" t="s">
        <v>880</v>
      </c>
      <c r="B56" s="818"/>
      <c r="C56" s="709">
        <f ca="1">SUM(C54:C55)</f>
        <v>285.74618997058491</v>
      </c>
      <c r="D56" s="709">
        <f t="shared" ref="D56:Q56" ca="1" si="7">SUM(D54:D55)</f>
        <v>2407.7042016806727</v>
      </c>
      <c r="E56" s="709">
        <f t="shared" si="7"/>
        <v>489.47295635270922</v>
      </c>
      <c r="F56" s="709">
        <f t="shared" si="7"/>
        <v>1.0266655024675155</v>
      </c>
      <c r="G56" s="709">
        <f t="shared" si="7"/>
        <v>418.30573989805606</v>
      </c>
      <c r="H56" s="709">
        <f t="shared" si="7"/>
        <v>0</v>
      </c>
      <c r="I56" s="709">
        <f t="shared" si="7"/>
        <v>0</v>
      </c>
      <c r="J56" s="709">
        <f t="shared" si="7"/>
        <v>0</v>
      </c>
      <c r="K56" s="709">
        <f t="shared" si="7"/>
        <v>21.023806866115716</v>
      </c>
      <c r="L56" s="709">
        <f t="shared" si="7"/>
        <v>0</v>
      </c>
      <c r="M56" s="709">
        <f t="shared" si="7"/>
        <v>0</v>
      </c>
      <c r="N56" s="709">
        <f t="shared" si="7"/>
        <v>0</v>
      </c>
      <c r="O56" s="709">
        <f t="shared" si="7"/>
        <v>0</v>
      </c>
      <c r="P56" s="709">
        <f t="shared" si="7"/>
        <v>0</v>
      </c>
      <c r="Q56" s="710">
        <f t="shared" si="7"/>
        <v>0</v>
      </c>
      <c r="R56" s="711">
        <f ca="1">SUM(R54:R55)</f>
        <v>3623.2795602706055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22285.505030719469</v>
      </c>
      <c r="D61" s="717">
        <f t="shared" ref="D61:Q61" ca="1" si="8">D46+D52+D56</f>
        <v>8821.1193277310958</v>
      </c>
      <c r="E61" s="717">
        <f t="shared" ca="1" si="8"/>
        <v>25203.355034649077</v>
      </c>
      <c r="F61" s="717">
        <f t="shared" si="8"/>
        <v>439.09882474281164</v>
      </c>
      <c r="G61" s="717">
        <f t="shared" ca="1" si="8"/>
        <v>8107.4498127771622</v>
      </c>
      <c r="H61" s="717">
        <f t="shared" si="8"/>
        <v>58486.842861958074</v>
      </c>
      <c r="I61" s="717">
        <f t="shared" si="8"/>
        <v>6370.2555149863556</v>
      </c>
      <c r="J61" s="717">
        <f t="shared" si="8"/>
        <v>0</v>
      </c>
      <c r="K61" s="717">
        <f t="shared" si="8"/>
        <v>151.12133957014069</v>
      </c>
      <c r="L61" s="717">
        <f t="shared" si="8"/>
        <v>0</v>
      </c>
      <c r="M61" s="717">
        <f t="shared" ca="1" si="8"/>
        <v>0</v>
      </c>
      <c r="N61" s="717">
        <f t="shared" si="8"/>
        <v>0</v>
      </c>
      <c r="O61" s="717">
        <f t="shared" ca="1" si="8"/>
        <v>0</v>
      </c>
      <c r="P61" s="717">
        <f t="shared" si="8"/>
        <v>0</v>
      </c>
      <c r="Q61" s="717">
        <f t="shared" si="8"/>
        <v>0</v>
      </c>
      <c r="R61" s="717">
        <f ca="1">R46+R52+R56</f>
        <v>129864.74774713418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0.21629309658380949</v>
      </c>
      <c r="D63" s="761">
        <f t="shared" ca="1" si="9"/>
        <v>0.23764705882352952</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4151.6325411946282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25983</v>
      </c>
      <c r="D76" s="998">
        <f>'lokale energieproductie'!C8</f>
        <v>30568.235294117643</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6174.783529411764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4151.6325411946282</v>
      </c>
      <c r="C78" s="732">
        <f>SUM(C72:C77)</f>
        <v>25983</v>
      </c>
      <c r="D78" s="733">
        <f t="shared" ref="D78:H78" si="10">SUM(D76:D77)</f>
        <v>30568.235294117643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6174.783529411764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37118.571428571428</v>
      </c>
      <c r="D87" s="754">
        <f>'lokale energieproductie'!C17</f>
        <v>43668.907563025212</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8821.119327731094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37118.571428571428</v>
      </c>
      <c r="D90" s="732">
        <f t="shared" ref="D90:H90" si="12">SUM(D87:D89)</f>
        <v>43668.907563025212</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8821.119327731094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22719.648120019134</v>
      </c>
      <c r="C4" s="449">
        <f>huishoudens!C8</f>
        <v>0</v>
      </c>
      <c r="D4" s="449">
        <f>huishoudens!D8</f>
        <v>67272.542144514431</v>
      </c>
      <c r="E4" s="449">
        <f>huishoudens!E8</f>
        <v>597.8274217025986</v>
      </c>
      <c r="F4" s="449">
        <f>huishoudens!F8</f>
        <v>18226.022417832828</v>
      </c>
      <c r="G4" s="449">
        <f>huishoudens!G8</f>
        <v>0</v>
      </c>
      <c r="H4" s="449">
        <f>huishoudens!H8</f>
        <v>0</v>
      </c>
      <c r="I4" s="449">
        <f>huishoudens!I8</f>
        <v>0</v>
      </c>
      <c r="J4" s="449">
        <f>huishoudens!J8</f>
        <v>330.70482598999558</v>
      </c>
      <c r="K4" s="449">
        <f>huishoudens!K8</f>
        <v>0</v>
      </c>
      <c r="L4" s="449">
        <f>huishoudens!L8</f>
        <v>0</v>
      </c>
      <c r="M4" s="449">
        <f>huishoudens!M8</f>
        <v>0</v>
      </c>
      <c r="N4" s="449">
        <f>huishoudens!N8</f>
        <v>6796.9578892287063</v>
      </c>
      <c r="O4" s="449">
        <f>huishoudens!O8</f>
        <v>107.87</v>
      </c>
      <c r="P4" s="450">
        <f>huishoudens!P8</f>
        <v>133.46666666666667</v>
      </c>
      <c r="Q4" s="451">
        <f>SUM(B4:P4)</f>
        <v>116185.03948595434</v>
      </c>
    </row>
    <row r="5" spans="1:17">
      <c r="A5" s="448" t="s">
        <v>155</v>
      </c>
      <c r="B5" s="449">
        <f ca="1">tertiair!B16</f>
        <v>29493.551599093647</v>
      </c>
      <c r="C5" s="449">
        <f ca="1">tertiair!C16</f>
        <v>0</v>
      </c>
      <c r="D5" s="449">
        <f ca="1">tertiair!D16</f>
        <v>36736.281554517227</v>
      </c>
      <c r="E5" s="449">
        <f>tertiair!E16</f>
        <v>207.86991792995144</v>
      </c>
      <c r="F5" s="449">
        <f ca="1">tertiair!F16</f>
        <v>5827.8700788036722</v>
      </c>
      <c r="G5" s="449">
        <f>tertiair!G16</f>
        <v>0</v>
      </c>
      <c r="H5" s="449">
        <f>tertiair!H16</f>
        <v>0</v>
      </c>
      <c r="I5" s="449">
        <f>tertiair!I16</f>
        <v>0</v>
      </c>
      <c r="J5" s="449">
        <f>tertiair!J16</f>
        <v>0</v>
      </c>
      <c r="K5" s="449">
        <f>tertiair!K16</f>
        <v>0</v>
      </c>
      <c r="L5" s="449">
        <f ca="1">tertiair!L16</f>
        <v>0</v>
      </c>
      <c r="M5" s="449">
        <f>tertiair!M16</f>
        <v>0</v>
      </c>
      <c r="N5" s="449">
        <f ca="1">tertiair!N16</f>
        <v>1562.5334731023297</v>
      </c>
      <c r="O5" s="449">
        <f>tertiair!O16</f>
        <v>1.5633333333333335</v>
      </c>
      <c r="P5" s="450">
        <f>tertiair!P16</f>
        <v>19.066666666666666</v>
      </c>
      <c r="Q5" s="448">
        <f t="shared" ref="Q5:Q14" ca="1" si="0">SUM(B5:P5)</f>
        <v>73848.736623446835</v>
      </c>
    </row>
    <row r="6" spans="1:17">
      <c r="A6" s="448" t="s">
        <v>193</v>
      </c>
      <c r="B6" s="449">
        <f>'openbare verlichting'!B8</f>
        <v>886.32500000000005</v>
      </c>
      <c r="C6" s="449"/>
      <c r="D6" s="449"/>
      <c r="E6" s="449"/>
      <c r="F6" s="449"/>
      <c r="G6" s="449"/>
      <c r="H6" s="449"/>
      <c r="I6" s="449"/>
      <c r="J6" s="449"/>
      <c r="K6" s="449"/>
      <c r="L6" s="449"/>
      <c r="M6" s="449"/>
      <c r="N6" s="449"/>
      <c r="O6" s="449"/>
      <c r="P6" s="450"/>
      <c r="Q6" s="448">
        <f t="shared" si="0"/>
        <v>886.32500000000005</v>
      </c>
    </row>
    <row r="7" spans="1:17">
      <c r="A7" s="448" t="s">
        <v>111</v>
      </c>
      <c r="B7" s="449">
        <f>landbouw!B8</f>
        <v>480.08851885548199</v>
      </c>
      <c r="C7" s="449">
        <f>landbouw!C8</f>
        <v>10131.428571428571</v>
      </c>
      <c r="D7" s="449">
        <f>landbouw!D8</f>
        <v>0</v>
      </c>
      <c r="E7" s="449">
        <f>landbouw!E8</f>
        <v>4.5227555174780418</v>
      </c>
      <c r="F7" s="449">
        <f>landbouw!F8</f>
        <v>1566.688164412195</v>
      </c>
      <c r="G7" s="449">
        <f>landbouw!G8</f>
        <v>0</v>
      </c>
      <c r="H7" s="449">
        <f>landbouw!H8</f>
        <v>0</v>
      </c>
      <c r="I7" s="449">
        <f>landbouw!I8</f>
        <v>0</v>
      </c>
      <c r="J7" s="449">
        <f>landbouw!J8</f>
        <v>59.389284932530281</v>
      </c>
      <c r="K7" s="449">
        <f>landbouw!K8</f>
        <v>0</v>
      </c>
      <c r="L7" s="449">
        <f>landbouw!L8</f>
        <v>0</v>
      </c>
      <c r="M7" s="449">
        <f>landbouw!M8</f>
        <v>0</v>
      </c>
      <c r="N7" s="449">
        <f>landbouw!N8</f>
        <v>0</v>
      </c>
      <c r="O7" s="449">
        <f>landbouw!O8</f>
        <v>0</v>
      </c>
      <c r="P7" s="450">
        <f>landbouw!P8</f>
        <v>0</v>
      </c>
      <c r="Q7" s="448">
        <f t="shared" si="0"/>
        <v>12242.117295146258</v>
      </c>
    </row>
    <row r="8" spans="1:17">
      <c r="A8" s="448" t="s">
        <v>671</v>
      </c>
      <c r="B8" s="449">
        <f>industrie!B18</f>
        <v>48591.516496243261</v>
      </c>
      <c r="C8" s="449">
        <f>industrie!C18</f>
        <v>26987.142857142859</v>
      </c>
      <c r="D8" s="449">
        <f>industrie!D18</f>
        <v>18326.9886136567</v>
      </c>
      <c r="E8" s="449">
        <f>industrie!E18</f>
        <v>359.3595458946786</v>
      </c>
      <c r="F8" s="449">
        <f>industrie!F18</f>
        <v>4744.3999111504136</v>
      </c>
      <c r="G8" s="449">
        <f>industrie!G18</f>
        <v>0</v>
      </c>
      <c r="H8" s="449">
        <f>industrie!H18</f>
        <v>0</v>
      </c>
      <c r="I8" s="449">
        <f>industrie!I18</f>
        <v>0</v>
      </c>
      <c r="J8" s="449">
        <f>industrie!J18</f>
        <v>36.802328541148491</v>
      </c>
      <c r="K8" s="449">
        <f>industrie!K18</f>
        <v>0</v>
      </c>
      <c r="L8" s="449">
        <f>industrie!L18</f>
        <v>0</v>
      </c>
      <c r="M8" s="449">
        <f>industrie!M18</f>
        <v>0</v>
      </c>
      <c r="N8" s="449">
        <f>industrie!N18</f>
        <v>1710.3334270321366</v>
      </c>
      <c r="O8" s="449">
        <f>industrie!O18</f>
        <v>0</v>
      </c>
      <c r="P8" s="450">
        <f>industrie!P18</f>
        <v>0</v>
      </c>
      <c r="Q8" s="448">
        <f t="shared" si="0"/>
        <v>100756.54317966118</v>
      </c>
    </row>
    <row r="9" spans="1:17" s="454" customFormat="1">
      <c r="A9" s="452" t="s">
        <v>568</v>
      </c>
      <c r="B9" s="453">
        <f>transport!B14</f>
        <v>9.3210587141294887</v>
      </c>
      <c r="C9" s="453">
        <f>transport!C14</f>
        <v>0</v>
      </c>
      <c r="D9" s="453">
        <f>transport!D14</f>
        <v>10.138569966913259</v>
      </c>
      <c r="E9" s="453">
        <f>transport!E14</f>
        <v>764.77641509102739</v>
      </c>
      <c r="F9" s="453">
        <f>transport!F14</f>
        <v>0</v>
      </c>
      <c r="G9" s="453">
        <f>transport!G14</f>
        <v>216587.37744160564</v>
      </c>
      <c r="H9" s="453">
        <f>transport!H14</f>
        <v>25583.355481872914</v>
      </c>
      <c r="I9" s="453">
        <f>transport!I14</f>
        <v>0</v>
      </c>
      <c r="J9" s="453">
        <f>transport!J14</f>
        <v>0</v>
      </c>
      <c r="K9" s="453">
        <f>transport!K14</f>
        <v>0</v>
      </c>
      <c r="L9" s="453">
        <f>transport!L14</f>
        <v>0</v>
      </c>
      <c r="M9" s="453">
        <f>transport!M14</f>
        <v>10809.044813304425</v>
      </c>
      <c r="N9" s="453">
        <f>transport!N14</f>
        <v>0</v>
      </c>
      <c r="O9" s="453">
        <f>transport!O14</f>
        <v>0</v>
      </c>
      <c r="P9" s="453">
        <f>transport!P14</f>
        <v>0</v>
      </c>
      <c r="Q9" s="452">
        <f>SUM(B9:P9)</f>
        <v>253764.01378055505</v>
      </c>
    </row>
    <row r="10" spans="1:17">
      <c r="A10" s="448" t="s">
        <v>558</v>
      </c>
      <c r="B10" s="449">
        <f>transport!B54</f>
        <v>12.356200161819503</v>
      </c>
      <c r="C10" s="449">
        <f>transport!C54</f>
        <v>0</v>
      </c>
      <c r="D10" s="449">
        <f>transport!D54</f>
        <v>0</v>
      </c>
      <c r="E10" s="449">
        <f>transport!E54</f>
        <v>0</v>
      </c>
      <c r="F10" s="449">
        <f>transport!F54</f>
        <v>0</v>
      </c>
      <c r="G10" s="449">
        <f>transport!G54</f>
        <v>2464.4684833309716</v>
      </c>
      <c r="H10" s="449">
        <f>transport!H54</f>
        <v>0</v>
      </c>
      <c r="I10" s="449">
        <f>transport!I54</f>
        <v>0</v>
      </c>
      <c r="J10" s="449">
        <f>transport!J54</f>
        <v>0</v>
      </c>
      <c r="K10" s="449">
        <f>transport!K54</f>
        <v>0</v>
      </c>
      <c r="L10" s="449">
        <f>transport!L54</f>
        <v>0</v>
      </c>
      <c r="M10" s="449">
        <f>transport!M54</f>
        <v>108.92688215695436</v>
      </c>
      <c r="N10" s="449">
        <f>transport!N54</f>
        <v>0</v>
      </c>
      <c r="O10" s="449">
        <f>transport!O54</f>
        <v>0</v>
      </c>
      <c r="P10" s="450">
        <f>transport!P54</f>
        <v>0</v>
      </c>
      <c r="Q10" s="448">
        <f t="shared" si="0"/>
        <v>2585.7515656497453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841.01786171669505</v>
      </c>
      <c r="C14" s="456"/>
      <c r="D14" s="456">
        <f>'SEAP template'!E25</f>
        <v>2423.1334472906397</v>
      </c>
      <c r="E14" s="456"/>
      <c r="F14" s="456"/>
      <c r="G14" s="456"/>
      <c r="H14" s="456"/>
      <c r="I14" s="456"/>
      <c r="J14" s="456"/>
      <c r="K14" s="456"/>
      <c r="L14" s="456"/>
      <c r="M14" s="456"/>
      <c r="N14" s="456"/>
      <c r="O14" s="456"/>
      <c r="P14" s="457"/>
      <c r="Q14" s="448">
        <f t="shared" si="0"/>
        <v>3264.1513090073349</v>
      </c>
    </row>
    <row r="15" spans="1:17" s="461" customFormat="1">
      <c r="A15" s="458" t="s">
        <v>562</v>
      </c>
      <c r="B15" s="459">
        <f ca="1">SUM(B4:B14)</f>
        <v>103033.82485480417</v>
      </c>
      <c r="C15" s="459">
        <f t="shared" ref="C15:Q15" ca="1" si="1">SUM(C4:C14)</f>
        <v>37118.571428571428</v>
      </c>
      <c r="D15" s="459">
        <f t="shared" ca="1" si="1"/>
        <v>124769.08432994592</v>
      </c>
      <c r="E15" s="459">
        <f t="shared" si="1"/>
        <v>1934.356056135734</v>
      </c>
      <c r="F15" s="459">
        <f t="shared" ca="1" si="1"/>
        <v>30364.980572199111</v>
      </c>
      <c r="G15" s="459">
        <f t="shared" si="1"/>
        <v>219051.84592493661</v>
      </c>
      <c r="H15" s="459">
        <f t="shared" si="1"/>
        <v>25583.355481872914</v>
      </c>
      <c r="I15" s="459">
        <f t="shared" si="1"/>
        <v>0</v>
      </c>
      <c r="J15" s="459">
        <f t="shared" si="1"/>
        <v>426.89643946367437</v>
      </c>
      <c r="K15" s="459">
        <f t="shared" si="1"/>
        <v>0</v>
      </c>
      <c r="L15" s="459">
        <f t="shared" ca="1" si="1"/>
        <v>0</v>
      </c>
      <c r="M15" s="459">
        <f t="shared" si="1"/>
        <v>10917.97169546138</v>
      </c>
      <c r="N15" s="459">
        <f t="shared" ca="1" si="1"/>
        <v>10069.824789363174</v>
      </c>
      <c r="O15" s="459">
        <f t="shared" si="1"/>
        <v>109.43333333333334</v>
      </c>
      <c r="P15" s="459">
        <f t="shared" si="1"/>
        <v>152.53333333333333</v>
      </c>
      <c r="Q15" s="459">
        <f t="shared" ca="1" si="1"/>
        <v>563532.67823942075</v>
      </c>
    </row>
    <row r="17" spans="1:17">
      <c r="A17" s="462" t="s">
        <v>563</v>
      </c>
      <c r="B17" s="766">
        <f ca="1">huishoudens!B10</f>
        <v>0.21629309658380952</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4914.103045173465</v>
      </c>
      <c r="C22" s="449">
        <f t="shared" ref="C22:C32" ca="1" si="3">C4*$C$17</f>
        <v>0</v>
      </c>
      <c r="D22" s="449">
        <f t="shared" ref="D22:D32" si="4">D4*$D$17</f>
        <v>13589.053513191917</v>
      </c>
      <c r="E22" s="449">
        <f t="shared" ref="E22:E32" si="5">E4*$E$17</f>
        <v>135.70682472648988</v>
      </c>
      <c r="F22" s="449">
        <f t="shared" ref="F22:F32" si="6">F4*$F$17</f>
        <v>4866.347985561365</v>
      </c>
      <c r="G22" s="449">
        <f t="shared" ref="G22:G32" si="7">G4*$G$17</f>
        <v>0</v>
      </c>
      <c r="H22" s="449">
        <f t="shared" ref="H22:H32" si="8">H4*$H$17</f>
        <v>0</v>
      </c>
      <c r="I22" s="449">
        <f t="shared" ref="I22:I32" si="9">I4*$I$17</f>
        <v>0</v>
      </c>
      <c r="J22" s="449">
        <f t="shared" ref="J22:J32" si="10">J4*$J$17</f>
        <v>117.06950840045843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23622.280877053698</v>
      </c>
    </row>
    <row r="23" spans="1:17">
      <c r="A23" s="448" t="s">
        <v>155</v>
      </c>
      <c r="B23" s="449">
        <f t="shared" ca="1" si="2"/>
        <v>6379.2516046223318</v>
      </c>
      <c r="C23" s="449">
        <f t="shared" ca="1" si="3"/>
        <v>0</v>
      </c>
      <c r="D23" s="449">
        <f t="shared" ca="1" si="4"/>
        <v>7420.7288740124804</v>
      </c>
      <c r="E23" s="449">
        <f t="shared" si="5"/>
        <v>47.186471370098978</v>
      </c>
      <c r="F23" s="449">
        <f t="shared" ca="1" si="6"/>
        <v>1556.0413110405805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15403.208261045493</v>
      </c>
    </row>
    <row r="24" spans="1:17">
      <c r="A24" s="448" t="s">
        <v>193</v>
      </c>
      <c r="B24" s="449">
        <f t="shared" ca="1" si="2"/>
        <v>191.70597882964498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191.70597882964498</v>
      </c>
    </row>
    <row r="25" spans="1:17">
      <c r="A25" s="448" t="s">
        <v>111</v>
      </c>
      <c r="B25" s="449">
        <f t="shared" ca="1" si="2"/>
        <v>103.83983237758683</v>
      </c>
      <c r="C25" s="449">
        <f t="shared" ca="1" si="3"/>
        <v>2407.7042016806727</v>
      </c>
      <c r="D25" s="449">
        <f t="shared" si="4"/>
        <v>0</v>
      </c>
      <c r="E25" s="449">
        <f t="shared" si="5"/>
        <v>1.0266655024675155</v>
      </c>
      <c r="F25" s="449">
        <f t="shared" si="6"/>
        <v>418.30573989805606</v>
      </c>
      <c r="G25" s="449">
        <f t="shared" si="7"/>
        <v>0</v>
      </c>
      <c r="H25" s="449">
        <f t="shared" si="8"/>
        <v>0</v>
      </c>
      <c r="I25" s="449">
        <f t="shared" si="9"/>
        <v>0</v>
      </c>
      <c r="J25" s="449">
        <f t="shared" si="10"/>
        <v>21.023806866115716</v>
      </c>
      <c r="K25" s="449">
        <f t="shared" si="11"/>
        <v>0</v>
      </c>
      <c r="L25" s="449">
        <f t="shared" si="12"/>
        <v>0</v>
      </c>
      <c r="M25" s="449">
        <f t="shared" si="13"/>
        <v>0</v>
      </c>
      <c r="N25" s="449">
        <f t="shared" si="14"/>
        <v>0</v>
      </c>
      <c r="O25" s="449">
        <f t="shared" si="15"/>
        <v>0</v>
      </c>
      <c r="P25" s="450">
        <f t="shared" si="16"/>
        <v>0</v>
      </c>
      <c r="Q25" s="448">
        <f t="shared" ca="1" si="17"/>
        <v>2951.9002463248985</v>
      </c>
    </row>
    <row r="26" spans="1:17">
      <c r="A26" s="448" t="s">
        <v>671</v>
      </c>
      <c r="B26" s="449">
        <f t="shared" ca="1" si="2"/>
        <v>10510.009570675717</v>
      </c>
      <c r="C26" s="449">
        <f t="shared" ca="1" si="3"/>
        <v>6413.4151260504223</v>
      </c>
      <c r="D26" s="449">
        <f t="shared" si="4"/>
        <v>3702.0516999586539</v>
      </c>
      <c r="E26" s="449">
        <f t="shared" si="5"/>
        <v>81.574616918092048</v>
      </c>
      <c r="F26" s="449">
        <f t="shared" si="6"/>
        <v>1266.7547762771605</v>
      </c>
      <c r="G26" s="449">
        <f t="shared" si="7"/>
        <v>0</v>
      </c>
      <c r="H26" s="449">
        <f t="shared" si="8"/>
        <v>0</v>
      </c>
      <c r="I26" s="449">
        <f t="shared" si="9"/>
        <v>0</v>
      </c>
      <c r="J26" s="449">
        <f t="shared" si="10"/>
        <v>13.028024303566564</v>
      </c>
      <c r="K26" s="449">
        <f t="shared" si="11"/>
        <v>0</v>
      </c>
      <c r="L26" s="449">
        <f t="shared" si="12"/>
        <v>0</v>
      </c>
      <c r="M26" s="449">
        <f t="shared" si="13"/>
        <v>0</v>
      </c>
      <c r="N26" s="449">
        <f t="shared" si="14"/>
        <v>0</v>
      </c>
      <c r="O26" s="449">
        <f t="shared" si="15"/>
        <v>0</v>
      </c>
      <c r="P26" s="450">
        <f t="shared" si="16"/>
        <v>0</v>
      </c>
      <c r="Q26" s="448">
        <f t="shared" ca="1" si="17"/>
        <v>21986.833814183614</v>
      </c>
    </row>
    <row r="27" spans="1:17" s="454" customFormat="1">
      <c r="A27" s="452" t="s">
        <v>568</v>
      </c>
      <c r="B27" s="760">
        <f t="shared" ca="1" si="2"/>
        <v>2.0160806527185691</v>
      </c>
      <c r="C27" s="453">
        <f t="shared" ca="1" si="3"/>
        <v>0</v>
      </c>
      <c r="D27" s="453">
        <f t="shared" si="4"/>
        <v>2.0479911333164784</v>
      </c>
      <c r="E27" s="453">
        <f t="shared" si="5"/>
        <v>173.60424622566322</v>
      </c>
      <c r="F27" s="453">
        <f t="shared" si="6"/>
        <v>0</v>
      </c>
      <c r="G27" s="453">
        <f t="shared" si="7"/>
        <v>57828.829776908708</v>
      </c>
      <c r="H27" s="453">
        <f t="shared" si="8"/>
        <v>6370.2555149863556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64376.753609906758</v>
      </c>
    </row>
    <row r="28" spans="1:17">
      <c r="A28" s="448" t="s">
        <v>558</v>
      </c>
      <c r="B28" s="449">
        <f t="shared" ca="1" si="2"/>
        <v>2.6725607950093084</v>
      </c>
      <c r="C28" s="449">
        <f t="shared" ca="1" si="3"/>
        <v>0</v>
      </c>
      <c r="D28" s="449">
        <f t="shared" si="4"/>
        <v>0</v>
      </c>
      <c r="E28" s="449">
        <f t="shared" si="5"/>
        <v>0</v>
      </c>
      <c r="F28" s="449">
        <f t="shared" si="6"/>
        <v>0</v>
      </c>
      <c r="G28" s="449">
        <f t="shared" si="7"/>
        <v>658.01308504936947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660.68564584437877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181.90635759299809</v>
      </c>
      <c r="C32" s="449">
        <f t="shared" ca="1" si="3"/>
        <v>0</v>
      </c>
      <c r="D32" s="449">
        <f t="shared" si="4"/>
        <v>489.47295635270922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671.37931394570728</v>
      </c>
    </row>
    <row r="33" spans="1:17" s="461" customFormat="1">
      <c r="A33" s="458" t="s">
        <v>562</v>
      </c>
      <c r="B33" s="459">
        <f ca="1">SUM(B22:B32)</f>
        <v>22285.505030719472</v>
      </c>
      <c r="C33" s="459">
        <f t="shared" ref="C33:Q33" ca="1" si="18">SUM(C22:C32)</f>
        <v>8821.1193277310958</v>
      </c>
      <c r="D33" s="459">
        <f t="shared" ca="1" si="18"/>
        <v>25203.355034649077</v>
      </c>
      <c r="E33" s="459">
        <f t="shared" si="18"/>
        <v>439.09882474281164</v>
      </c>
      <c r="F33" s="459">
        <f t="shared" ca="1" si="18"/>
        <v>8107.4498127771622</v>
      </c>
      <c r="G33" s="459">
        <f t="shared" si="18"/>
        <v>58486.842861958074</v>
      </c>
      <c r="H33" s="459">
        <f t="shared" si="18"/>
        <v>6370.2555149863556</v>
      </c>
      <c r="I33" s="459">
        <f t="shared" si="18"/>
        <v>0</v>
      </c>
      <c r="J33" s="459">
        <f t="shared" si="18"/>
        <v>151.12133957014069</v>
      </c>
      <c r="K33" s="459">
        <f t="shared" si="18"/>
        <v>0</v>
      </c>
      <c r="L33" s="459">
        <f t="shared" ca="1" si="18"/>
        <v>0</v>
      </c>
      <c r="M33" s="459">
        <f t="shared" si="18"/>
        <v>0</v>
      </c>
      <c r="N33" s="459">
        <f t="shared" ca="1" si="18"/>
        <v>0</v>
      </c>
      <c r="O33" s="459">
        <f t="shared" si="18"/>
        <v>0</v>
      </c>
      <c r="P33" s="459">
        <f t="shared" si="18"/>
        <v>0</v>
      </c>
      <c r="Q33" s="459">
        <f t="shared" ca="1" si="18"/>
        <v>129864.7477471342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4151.6325411946282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25983</v>
      </c>
      <c r="D8" s="1015">
        <f>'SEAP template'!D76</f>
        <v>30568.235294117643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6174.783529411764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4151.6325411946282</v>
      </c>
      <c r="C10" s="1019">
        <f>SUM(C4:C9)</f>
        <v>25983</v>
      </c>
      <c r="D10" s="1019">
        <f t="shared" ref="D10:H10" si="0">SUM(D8:D9)</f>
        <v>30568.235294117643</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6174.783529411764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0.21629309658380952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37118.571428571428</v>
      </c>
      <c r="D17" s="1016">
        <f>'SEAP template'!D87</f>
        <v>43668.907563025212</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8821.119327731094</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37118.571428571428</v>
      </c>
      <c r="D20" s="1019">
        <f t="shared" ref="D20:H20" si="2">SUM(D17:D19)</f>
        <v>43668.907563025212</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8821.119327731094</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0.21629309658380952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0.21629309658380952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0.21629309658380952</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5002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315</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22</v>
      </c>
      <c r="C17" s="327"/>
      <c r="D17" s="327"/>
      <c r="E17" s="327"/>
      <c r="F17" s="327"/>
    </row>
    <row r="18" spans="1:6">
      <c r="A18" s="1295" t="s">
        <v>8</v>
      </c>
      <c r="B18" s="1296">
        <v>19</v>
      </c>
      <c r="C18" s="327"/>
      <c r="D18" s="327"/>
      <c r="E18" s="327"/>
      <c r="F18" s="327"/>
    </row>
    <row r="19" spans="1:6">
      <c r="A19" s="1295" t="s">
        <v>9</v>
      </c>
      <c r="B19" s="1296">
        <v>14</v>
      </c>
      <c r="C19" s="327"/>
      <c r="D19" s="327"/>
      <c r="E19" s="327"/>
      <c r="F19" s="327"/>
    </row>
    <row r="20" spans="1:6">
      <c r="A20" s="1295" t="s">
        <v>10</v>
      </c>
      <c r="B20" s="1296">
        <v>31</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9672</v>
      </c>
      <c r="C28" s="333"/>
      <c r="D28" s="333"/>
      <c r="E28" s="333"/>
      <c r="F28" s="333"/>
    </row>
    <row r="29" spans="1:6">
      <c r="A29" s="1297" t="s">
        <v>961</v>
      </c>
      <c r="B29" s="1298">
        <v>47</v>
      </c>
      <c r="C29" s="333"/>
      <c r="D29" s="333"/>
      <c r="E29" s="333"/>
      <c r="F29" s="333"/>
    </row>
    <row r="30" spans="1:6">
      <c r="A30" s="1290" t="s">
        <v>962</v>
      </c>
      <c r="B30" s="1299">
        <v>20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3</v>
      </c>
      <c r="F38" s="1296">
        <v>54770.176991248001</v>
      </c>
    </row>
    <row r="39" spans="1:6">
      <c r="A39" s="1295" t="s">
        <v>29</v>
      </c>
      <c r="B39" s="1295" t="s">
        <v>30</v>
      </c>
      <c r="C39" s="1296">
        <v>4048</v>
      </c>
      <c r="D39" s="1296">
        <v>74581532.3109916</v>
      </c>
      <c r="E39" s="1296">
        <v>5139</v>
      </c>
      <c r="F39" s="1296">
        <v>20980309.901898999</v>
      </c>
    </row>
    <row r="40" spans="1:6">
      <c r="A40" s="1295" t="s">
        <v>29</v>
      </c>
      <c r="B40" s="1295" t="s">
        <v>28</v>
      </c>
      <c r="C40" s="1296">
        <v>0</v>
      </c>
      <c r="D40" s="1296">
        <v>0</v>
      </c>
      <c r="E40" s="1296">
        <v>0</v>
      </c>
      <c r="F40" s="1296">
        <v>0</v>
      </c>
    </row>
    <row r="41" spans="1:6">
      <c r="A41" s="1295" t="s">
        <v>31</v>
      </c>
      <c r="B41" s="1295" t="s">
        <v>32</v>
      </c>
      <c r="C41" s="1296">
        <v>37</v>
      </c>
      <c r="D41" s="1296">
        <v>1424941.8909543799</v>
      </c>
      <c r="E41" s="1296">
        <v>105</v>
      </c>
      <c r="F41" s="1296">
        <v>1188240.1713554901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14</v>
      </c>
      <c r="D44" s="1296">
        <v>48086274.224824302</v>
      </c>
      <c r="E44" s="1296">
        <v>20</v>
      </c>
      <c r="F44" s="1296">
        <v>635438.61119563505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8</v>
      </c>
      <c r="D47" s="1296">
        <v>4027084.5819155802</v>
      </c>
      <c r="E47" s="1296">
        <v>8</v>
      </c>
      <c r="F47" s="1296">
        <v>3178591.4508535299</v>
      </c>
    </row>
    <row r="48" spans="1:6">
      <c r="A48" s="1295" t="s">
        <v>31</v>
      </c>
      <c r="B48" s="1295" t="s">
        <v>28</v>
      </c>
      <c r="C48" s="1296">
        <v>23</v>
      </c>
      <c r="D48" s="1296">
        <v>3385096.2263291101</v>
      </c>
      <c r="E48" s="1296">
        <v>35</v>
      </c>
      <c r="F48" s="1296">
        <v>5208598.5182100004</v>
      </c>
    </row>
    <row r="49" spans="1:6">
      <c r="A49" s="1295" t="s">
        <v>31</v>
      </c>
      <c r="B49" s="1295" t="s">
        <v>39</v>
      </c>
      <c r="C49" s="1296">
        <v>0</v>
      </c>
      <c r="D49" s="1296">
        <v>0</v>
      </c>
      <c r="E49" s="1296">
        <v>0</v>
      </c>
      <c r="F49" s="1296">
        <v>0</v>
      </c>
    </row>
    <row r="50" spans="1:6">
      <c r="A50" s="1295" t="s">
        <v>31</v>
      </c>
      <c r="B50" s="1295" t="s">
        <v>40</v>
      </c>
      <c r="C50" s="1296">
        <v>9</v>
      </c>
      <c r="D50" s="1296">
        <v>23233226.499416102</v>
      </c>
      <c r="E50" s="1296">
        <v>10</v>
      </c>
      <c r="F50" s="1296">
        <v>19489647.744628601</v>
      </c>
    </row>
    <row r="51" spans="1:6">
      <c r="A51" s="1295" t="s">
        <v>41</v>
      </c>
      <c r="B51" s="1295" t="s">
        <v>42</v>
      </c>
      <c r="C51" s="1296">
        <v>3</v>
      </c>
      <c r="D51" s="1296">
        <v>2971888.1502350001</v>
      </c>
      <c r="E51" s="1296">
        <v>16</v>
      </c>
      <c r="F51" s="1296">
        <v>353542.72457646998</v>
      </c>
    </row>
    <row r="52" spans="1:6">
      <c r="A52" s="1295" t="s">
        <v>41</v>
      </c>
      <c r="B52" s="1295" t="s">
        <v>28</v>
      </c>
      <c r="C52" s="1296">
        <v>5</v>
      </c>
      <c r="D52" s="1296">
        <v>9871506.7153866198</v>
      </c>
      <c r="E52" s="1296">
        <v>8</v>
      </c>
      <c r="F52" s="1296">
        <v>126545.794279012</v>
      </c>
    </row>
    <row r="53" spans="1:6">
      <c r="A53" s="1295" t="s">
        <v>43</v>
      </c>
      <c r="B53" s="1295" t="s">
        <v>44</v>
      </c>
      <c r="C53" s="1296">
        <v>76</v>
      </c>
      <c r="D53" s="1296">
        <v>2423133.4472906399</v>
      </c>
      <c r="E53" s="1296">
        <v>128</v>
      </c>
      <c r="F53" s="1296">
        <v>841017.86171669501</v>
      </c>
    </row>
    <row r="54" spans="1:6">
      <c r="A54" s="1295" t="s">
        <v>45</v>
      </c>
      <c r="B54" s="1295" t="s">
        <v>46</v>
      </c>
      <c r="C54" s="1296">
        <v>0</v>
      </c>
      <c r="D54" s="1296">
        <v>0</v>
      </c>
      <c r="E54" s="1296">
        <v>1</v>
      </c>
      <c r="F54" s="1296">
        <v>886325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22</v>
      </c>
      <c r="D57" s="1296">
        <v>1420090.98816775</v>
      </c>
      <c r="E57" s="1296">
        <v>44</v>
      </c>
      <c r="F57" s="1296">
        <v>1796203.26686036</v>
      </c>
    </row>
    <row r="58" spans="1:6">
      <c r="A58" s="1295" t="s">
        <v>48</v>
      </c>
      <c r="B58" s="1295" t="s">
        <v>50</v>
      </c>
      <c r="C58" s="1296">
        <v>6</v>
      </c>
      <c r="D58" s="1296">
        <v>2086899.55919322</v>
      </c>
      <c r="E58" s="1296">
        <v>6</v>
      </c>
      <c r="F58" s="1296">
        <v>805527.12470127596</v>
      </c>
    </row>
    <row r="59" spans="1:6">
      <c r="A59" s="1295" t="s">
        <v>48</v>
      </c>
      <c r="B59" s="1295" t="s">
        <v>51</v>
      </c>
      <c r="C59" s="1296">
        <v>147</v>
      </c>
      <c r="D59" s="1296">
        <v>10639608.5654181</v>
      </c>
      <c r="E59" s="1296">
        <v>256</v>
      </c>
      <c r="F59" s="1296">
        <v>13410132.520428799</v>
      </c>
    </row>
    <row r="60" spans="1:6">
      <c r="A60" s="1295" t="s">
        <v>48</v>
      </c>
      <c r="B60" s="1295" t="s">
        <v>52</v>
      </c>
      <c r="C60" s="1296">
        <v>34</v>
      </c>
      <c r="D60" s="1296">
        <v>1991634.94071123</v>
      </c>
      <c r="E60" s="1296">
        <v>41</v>
      </c>
      <c r="F60" s="1296">
        <v>997949.59915319504</v>
      </c>
    </row>
    <row r="61" spans="1:6">
      <c r="A61" s="1295" t="s">
        <v>48</v>
      </c>
      <c r="B61" s="1295" t="s">
        <v>53</v>
      </c>
      <c r="C61" s="1296">
        <v>117</v>
      </c>
      <c r="D61" s="1296">
        <v>8732936.2299446203</v>
      </c>
      <c r="E61" s="1296">
        <v>240</v>
      </c>
      <c r="F61" s="1296">
        <v>5507398.4671974499</v>
      </c>
    </row>
    <row r="62" spans="1:6">
      <c r="A62" s="1295" t="s">
        <v>48</v>
      </c>
      <c r="B62" s="1295" t="s">
        <v>54</v>
      </c>
      <c r="C62" s="1296">
        <v>0</v>
      </c>
      <c r="D62" s="1296">
        <v>0</v>
      </c>
      <c r="E62" s="1296">
        <v>3</v>
      </c>
      <c r="F62" s="1296">
        <v>117323</v>
      </c>
    </row>
    <row r="63" spans="1:6">
      <c r="A63" s="1295" t="s">
        <v>48</v>
      </c>
      <c r="B63" s="1295" t="s">
        <v>28</v>
      </c>
      <c r="C63" s="1296">
        <v>104</v>
      </c>
      <c r="D63" s="1296">
        <v>15856414.5885354</v>
      </c>
      <c r="E63" s="1296">
        <v>123</v>
      </c>
      <c r="F63" s="1296">
        <v>6859017.6207525702</v>
      </c>
    </row>
    <row r="64" spans="1:6">
      <c r="A64" s="1295" t="s">
        <v>55</v>
      </c>
      <c r="B64" s="1295" t="s">
        <v>56</v>
      </c>
      <c r="C64" s="1296">
        <v>0</v>
      </c>
      <c r="D64" s="1296">
        <v>0</v>
      </c>
      <c r="E64" s="1296">
        <v>0</v>
      </c>
      <c r="F64" s="1296">
        <v>0</v>
      </c>
    </row>
    <row r="65" spans="1:6">
      <c r="A65" s="1295" t="s">
        <v>55</v>
      </c>
      <c r="B65" s="1295" t="s">
        <v>28</v>
      </c>
      <c r="C65" s="1296">
        <v>0</v>
      </c>
      <c r="D65" s="1296">
        <v>0</v>
      </c>
      <c r="E65" s="1296">
        <v>4</v>
      </c>
      <c r="F65" s="1296">
        <v>27369.2985649599</v>
      </c>
    </row>
    <row r="66" spans="1:6">
      <c r="A66" s="1295" t="s">
        <v>55</v>
      </c>
      <c r="B66" s="1295" t="s">
        <v>57</v>
      </c>
      <c r="C66" s="1296">
        <v>0</v>
      </c>
      <c r="D66" s="1296">
        <v>0</v>
      </c>
      <c r="E66" s="1296">
        <v>0</v>
      </c>
      <c r="F66" s="1296">
        <v>0</v>
      </c>
    </row>
    <row r="67" spans="1:6">
      <c r="A67" s="1297" t="s">
        <v>55</v>
      </c>
      <c r="B67" s="1297" t="s">
        <v>58</v>
      </c>
      <c r="C67" s="1296">
        <v>0</v>
      </c>
      <c r="D67" s="1296">
        <v>0</v>
      </c>
      <c r="E67" s="1296">
        <v>33</v>
      </c>
      <c r="F67" s="1296">
        <v>650126.79860848398</v>
      </c>
    </row>
    <row r="68" spans="1:6">
      <c r="A68" s="1290" t="s">
        <v>55</v>
      </c>
      <c r="B68" s="1290" t="s">
        <v>59</v>
      </c>
      <c r="C68" s="1299">
        <v>6</v>
      </c>
      <c r="D68" s="1299">
        <v>1029886.08520421</v>
      </c>
      <c r="E68" s="1299">
        <v>13</v>
      </c>
      <c r="F68" s="1299">
        <v>220399.40620116401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38262735</v>
      </c>
      <c r="E73" s="447"/>
      <c r="F73" s="327"/>
    </row>
    <row r="74" spans="1:6">
      <c r="A74" s="1295" t="s">
        <v>63</v>
      </c>
      <c r="B74" s="1295" t="s">
        <v>755</v>
      </c>
      <c r="C74" s="1309" t="s">
        <v>749</v>
      </c>
      <c r="D74" s="1310">
        <v>3644426.8862083997</v>
      </c>
      <c r="E74" s="447"/>
      <c r="F74" s="327"/>
    </row>
    <row r="75" spans="1:6">
      <c r="A75" s="1295" t="s">
        <v>64</v>
      </c>
      <c r="B75" s="1295" t="s">
        <v>754</v>
      </c>
      <c r="C75" s="1309" t="s">
        <v>750</v>
      </c>
      <c r="D75" s="1310">
        <v>12594124</v>
      </c>
      <c r="E75" s="447"/>
      <c r="F75" s="327"/>
    </row>
    <row r="76" spans="1:6">
      <c r="A76" s="1295" t="s">
        <v>64</v>
      </c>
      <c r="B76" s="1295" t="s">
        <v>755</v>
      </c>
      <c r="C76" s="1309" t="s">
        <v>751</v>
      </c>
      <c r="D76" s="1310">
        <v>1265209.8862083997</v>
      </c>
      <c r="E76" s="447"/>
      <c r="F76" s="327"/>
    </row>
    <row r="77" spans="1:6">
      <c r="A77" s="1295" t="s">
        <v>65</v>
      </c>
      <c r="B77" s="1295" t="s">
        <v>754</v>
      </c>
      <c r="C77" s="1309" t="s">
        <v>752</v>
      </c>
      <c r="D77" s="1310">
        <v>165633342</v>
      </c>
      <c r="E77" s="447"/>
      <c r="F77" s="327"/>
    </row>
    <row r="78" spans="1:6">
      <c r="A78" s="1290" t="s">
        <v>65</v>
      </c>
      <c r="B78" s="1290" t="s">
        <v>755</v>
      </c>
      <c r="C78" s="1290" t="s">
        <v>753</v>
      </c>
      <c r="D78" s="1311">
        <v>35608493</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680740.22758320067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1739.3382181201346</v>
      </c>
      <c r="C91" s="327"/>
      <c r="D91" s="327"/>
      <c r="E91" s="327"/>
      <c r="F91" s="327"/>
    </row>
    <row r="92" spans="1:6">
      <c r="A92" s="1290" t="s">
        <v>68</v>
      </c>
      <c r="B92" s="1291">
        <v>2412.2943230744936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3049</v>
      </c>
      <c r="C97" s="327"/>
      <c r="D97" s="327"/>
      <c r="E97" s="327"/>
      <c r="F97" s="327"/>
    </row>
    <row r="98" spans="1:6">
      <c r="A98" s="1295" t="s">
        <v>71</v>
      </c>
      <c r="B98" s="1296">
        <v>2</v>
      </c>
      <c r="C98" s="327"/>
      <c r="D98" s="327"/>
      <c r="E98" s="327"/>
      <c r="F98" s="327"/>
    </row>
    <row r="99" spans="1:6">
      <c r="A99" s="1295" t="s">
        <v>72</v>
      </c>
      <c r="B99" s="1296">
        <v>32</v>
      </c>
      <c r="C99" s="327"/>
      <c r="D99" s="327"/>
      <c r="E99" s="327"/>
      <c r="F99" s="327"/>
    </row>
    <row r="100" spans="1:6">
      <c r="A100" s="1295" t="s">
        <v>73</v>
      </c>
      <c r="B100" s="1296">
        <v>376</v>
      </c>
      <c r="C100" s="327"/>
      <c r="D100" s="327"/>
      <c r="E100" s="327"/>
      <c r="F100" s="327"/>
    </row>
    <row r="101" spans="1:6">
      <c r="A101" s="1295" t="s">
        <v>74</v>
      </c>
      <c r="B101" s="1296">
        <v>46</v>
      </c>
      <c r="C101" s="327"/>
      <c r="D101" s="327"/>
      <c r="E101" s="327"/>
      <c r="F101" s="327"/>
    </row>
    <row r="102" spans="1:6">
      <c r="A102" s="1295" t="s">
        <v>75</v>
      </c>
      <c r="B102" s="1296">
        <v>41</v>
      </c>
      <c r="C102" s="327"/>
      <c r="D102" s="327"/>
      <c r="E102" s="327"/>
      <c r="F102" s="327"/>
    </row>
    <row r="103" spans="1:6">
      <c r="A103" s="1295" t="s">
        <v>76</v>
      </c>
      <c r="B103" s="1296">
        <v>57</v>
      </c>
      <c r="C103" s="327"/>
      <c r="D103" s="327"/>
      <c r="E103" s="327"/>
      <c r="F103" s="327"/>
    </row>
    <row r="104" spans="1:6">
      <c r="A104" s="1295" t="s">
        <v>77</v>
      </c>
      <c r="B104" s="1296">
        <v>856</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9</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59</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103033.82485480417</v>
      </c>
      <c r="C3" s="44" t="s">
        <v>169</v>
      </c>
      <c r="D3" s="44"/>
      <c r="E3" s="157"/>
      <c r="F3" s="44"/>
      <c r="G3" s="44"/>
      <c r="H3" s="44"/>
      <c r="I3" s="44"/>
      <c r="J3" s="44"/>
      <c r="K3" s="97"/>
    </row>
    <row r="4" spans="1:11">
      <c r="A4" s="354" t="s">
        <v>170</v>
      </c>
      <c r="B4" s="50">
        <f>IF(ISERROR('SEAP template'!B78+'SEAP template'!C78),0,'SEAP template'!B78+'SEAP template'!C78)</f>
        <v>30134.632541194627</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6174.783529411764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0.21629309658380952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8821.119327731094</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37118.571428571428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886.32500000000005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886.32500000000005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0.21629309658380952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191.70597882964498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20980.309901899</v>
      </c>
      <c r="C5" s="18">
        <f>IF(ISERROR('Eigen informatie GS &amp; warmtenet'!B57),0,'Eigen informatie GS &amp; warmtenet'!B57)</f>
        <v>0</v>
      </c>
      <c r="D5" s="31">
        <f>(SUM(HH_hh_gas_kWh,HH_rest_gas_kWh)/1000)*0.902</f>
        <v>67272.542144514431</v>
      </c>
      <c r="E5" s="18">
        <f>B32*B41</f>
        <v>597.8274217025986</v>
      </c>
      <c r="F5" s="18">
        <f>B36*B45</f>
        <v>18226.022417832828</v>
      </c>
      <c r="G5" s="19"/>
      <c r="H5" s="18"/>
      <c r="I5" s="18"/>
      <c r="J5" s="18">
        <f>B35*B44+C35*C44</f>
        <v>330.70482598999558</v>
      </c>
      <c r="K5" s="18"/>
      <c r="L5" s="18"/>
      <c r="M5" s="18"/>
      <c r="N5" s="18">
        <f>B34*B43+C34*C43</f>
        <v>6796.9578892287063</v>
      </c>
      <c r="O5" s="18">
        <f>B52*B53*B54</f>
        <v>107.87</v>
      </c>
      <c r="P5" s="18">
        <f>B60*B61*B62/1000-B60*B61*B62/1000/B63</f>
        <v>133.46666666666667</v>
      </c>
    </row>
    <row r="6" spans="1:16">
      <c r="A6" s="17" t="s">
        <v>628</v>
      </c>
      <c r="B6" s="768">
        <f>kWh_PV_kleiner_dan_10kW</f>
        <v>1739.3382181201346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22719.648120019134</v>
      </c>
      <c r="C8" s="22">
        <f>C5</f>
        <v>0</v>
      </c>
      <c r="D8" s="22">
        <f>D5</f>
        <v>67272.542144514431</v>
      </c>
      <c r="E8" s="22">
        <f>E5</f>
        <v>597.8274217025986</v>
      </c>
      <c r="F8" s="22">
        <f>F5</f>
        <v>18226.022417832828</v>
      </c>
      <c r="G8" s="22"/>
      <c r="H8" s="22"/>
      <c r="I8" s="22"/>
      <c r="J8" s="22">
        <f>J5</f>
        <v>330.70482598999558</v>
      </c>
      <c r="K8" s="22"/>
      <c r="L8" s="22">
        <f>L5</f>
        <v>0</v>
      </c>
      <c r="M8" s="22">
        <f>M5</f>
        <v>0</v>
      </c>
      <c r="N8" s="22">
        <f>N5</f>
        <v>6796.9578892287063</v>
      </c>
      <c r="O8" s="22">
        <f>O5</f>
        <v>107.87</v>
      </c>
      <c r="P8" s="22">
        <f>P5</f>
        <v>133.46666666666667</v>
      </c>
    </row>
    <row r="9" spans="1:16">
      <c r="B9" s="20"/>
      <c r="C9" s="20"/>
      <c r="D9" s="258"/>
      <c r="E9" s="20"/>
      <c r="F9" s="20"/>
      <c r="G9" s="20"/>
      <c r="H9" s="20"/>
      <c r="I9" s="20"/>
      <c r="J9" s="20"/>
      <c r="K9" s="20"/>
      <c r="L9" s="20"/>
      <c r="M9" s="20"/>
      <c r="N9" s="20"/>
      <c r="O9" s="20"/>
      <c r="P9" s="20"/>
    </row>
    <row r="10" spans="1:16">
      <c r="A10" s="25" t="s">
        <v>213</v>
      </c>
      <c r="B10" s="26">
        <f ca="1">'EF ele_warmte'!B12</f>
        <v>0.21629309658380952</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4914.103045173465</v>
      </c>
      <c r="C12" s="24">
        <f ca="1">C10*C8</f>
        <v>0</v>
      </c>
      <c r="D12" s="24">
        <f>D8*D10</f>
        <v>13589.053513191917</v>
      </c>
      <c r="E12" s="24">
        <f>E10*E8</f>
        <v>135.70682472648988</v>
      </c>
      <c r="F12" s="24">
        <f>F10*F8</f>
        <v>4866.347985561365</v>
      </c>
      <c r="G12" s="24"/>
      <c r="H12" s="24"/>
      <c r="I12" s="24"/>
      <c r="J12" s="24">
        <f>J10*J8</f>
        <v>117.06950840045843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5002</v>
      </c>
      <c r="C26" s="37"/>
      <c r="D26" s="228"/>
    </row>
    <row r="27" spans="1:5" s="16" customFormat="1">
      <c r="A27" s="230" t="s">
        <v>654</v>
      </c>
      <c r="B27" s="38">
        <f>SUM(HH_hh_gas_aantal,HH_rest_gas_aantal)</f>
        <v>4048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3845.6</v>
      </c>
      <c r="C31" s="35" t="s">
        <v>110</v>
      </c>
      <c r="D31" s="174"/>
    </row>
    <row r="32" spans="1:5">
      <c r="A32" s="171" t="s">
        <v>72</v>
      </c>
      <c r="B32" s="34">
        <f>IF((B21*($B$26-($B$27-0.05*$B$27)-$B$60))&lt;0,0,B21*($B$26-($B$27-0.05*$B$27)-$B$60))</f>
        <v>28.246884955283043</v>
      </c>
      <c r="C32" s="35" t="s">
        <v>110</v>
      </c>
      <c r="D32" s="174"/>
    </row>
    <row r="33" spans="1:6">
      <c r="A33" s="171" t="s">
        <v>73</v>
      </c>
      <c r="B33" s="34">
        <f>IF((B22*($B$26-($B$27-0.05*$B$27)-$B$60))&lt;0,0,B22*($B$26-($B$27-0.05*$B$27)-$B$60))</f>
        <v>190.13466481165679</v>
      </c>
      <c r="C33" s="35" t="s">
        <v>110</v>
      </c>
      <c r="D33" s="174"/>
    </row>
    <row r="34" spans="1:6">
      <c r="A34" s="171" t="s">
        <v>74</v>
      </c>
      <c r="B34" s="34">
        <f>IF((B24*($B$26-($B$27-0.05*$B$27)-$B$60))&lt;0,0,B24*($B$26-($B$27-0.05*$B$27)-$B$60))</f>
        <v>48.222158671833348</v>
      </c>
      <c r="C34" s="34">
        <f>B26*C24</f>
        <v>1022.9206430006994</v>
      </c>
      <c r="D34" s="233"/>
    </row>
    <row r="35" spans="1:6">
      <c r="A35" s="171" t="s">
        <v>76</v>
      </c>
      <c r="B35" s="34">
        <f>IF((B19*($B$26-($B$27-0.05*$B$27)-$B$60))&lt;0,0,B19*($B$26-($B$27-0.05*$B$27)-$B$60))</f>
        <v>17.927472560611228</v>
      </c>
      <c r="C35" s="34">
        <f>B35/2</f>
        <v>8.9637362803056142</v>
      </c>
      <c r="D35" s="233"/>
    </row>
    <row r="36" spans="1:6">
      <c r="A36" s="171" t="s">
        <v>77</v>
      </c>
      <c r="B36" s="34">
        <f>IF((B18*($B$26-($B$27-0.05*$B$27)-$B$60))&lt;0,0,B18*($B$26-($B$27-0.05*$B$27)-$B$60))</f>
        <v>864.86881900061542</v>
      </c>
      <c r="C36" s="35" t="s">
        <v>110</v>
      </c>
      <c r="D36" s="174"/>
    </row>
    <row r="37" spans="1:6">
      <c r="A37" s="171" t="s">
        <v>78</v>
      </c>
      <c r="B37" s="34">
        <f>B60</f>
        <v>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29493.551599093647</v>
      </c>
      <c r="C5" s="18">
        <f>IF(ISERROR('Eigen informatie GS &amp; warmtenet'!B58),0,'Eigen informatie GS &amp; warmtenet'!B58)</f>
        <v>0</v>
      </c>
      <c r="D5" s="31">
        <f>SUM(D6:D12)</f>
        <v>36736.281554517227</v>
      </c>
      <c r="E5" s="18">
        <f>SUM(E6:E12)</f>
        <v>207.86991792995144</v>
      </c>
      <c r="F5" s="18">
        <f>SUM(F6:F12)</f>
        <v>5827.8700788036722</v>
      </c>
      <c r="G5" s="19"/>
      <c r="H5" s="18"/>
      <c r="I5" s="18"/>
      <c r="J5" s="18">
        <f>SUM(J6:J12)</f>
        <v>0</v>
      </c>
      <c r="K5" s="18"/>
      <c r="L5" s="18"/>
      <c r="M5" s="18"/>
      <c r="N5" s="18">
        <f>SUM(N6:N12)</f>
        <v>1562.5334731023297</v>
      </c>
      <c r="O5" s="18">
        <f>B38*B39*B40</f>
        <v>1.5633333333333335</v>
      </c>
      <c r="P5" s="18">
        <f>B46*B47*B48/1000-B46*B47*B48/1000/B49</f>
        <v>19.066666666666666</v>
      </c>
      <c r="R5" s="33"/>
    </row>
    <row r="6" spans="1:18">
      <c r="A6" s="33" t="s">
        <v>53</v>
      </c>
      <c r="B6" s="38">
        <f>B26</f>
        <v>5507.3984671974495</v>
      </c>
      <c r="C6" s="34"/>
      <c r="D6" s="38">
        <f>IF(ISERROR(TER_kantoor_gas_kWh/1000),0,TER_kantoor_gas_kWh/1000)*0.902</f>
        <v>7877.1084794100479</v>
      </c>
      <c r="E6" s="34">
        <f>$C$26*'E Balans VL '!I12/100/3.6*1000000</f>
        <v>9.0387571013310222</v>
      </c>
      <c r="F6" s="34">
        <f>$C$26*('E Balans VL '!L12+'E Balans VL '!N12)/100/3.6*1000000</f>
        <v>649.19269723354023</v>
      </c>
      <c r="G6" s="35"/>
      <c r="H6" s="34"/>
      <c r="I6" s="34"/>
      <c r="J6" s="34">
        <f>$C$26*('E Balans VL '!D12+'E Balans VL '!E12)/100/3.6*1000000</f>
        <v>0</v>
      </c>
      <c r="K6" s="34"/>
      <c r="L6" s="34"/>
      <c r="M6" s="34"/>
      <c r="N6" s="34">
        <f>$C$26*'E Balans VL '!Y12/100/3.6*1000000</f>
        <v>1.1127437806304281</v>
      </c>
      <c r="O6" s="34"/>
      <c r="P6" s="34"/>
      <c r="R6" s="33"/>
    </row>
    <row r="7" spans="1:18">
      <c r="A7" s="33" t="s">
        <v>52</v>
      </c>
      <c r="B7" s="38">
        <f t="shared" ref="B7:B12" si="0">B27</f>
        <v>997.94959915319509</v>
      </c>
      <c r="C7" s="34"/>
      <c r="D7" s="38">
        <f>IF(ISERROR(TER_horeca_gas_kWh/1000),0,TER_horeca_gas_kWh/1000)*0.902</f>
        <v>1796.4547165215295</v>
      </c>
      <c r="E7" s="34">
        <f>$C$27*'E Balans VL '!I9/100/3.6*1000000</f>
        <v>51.786362878220899</v>
      </c>
      <c r="F7" s="34">
        <f>$C$27*('E Balans VL '!L9+'E Balans VL '!N9)/100/3.6*1000000</f>
        <v>227.7328226425771</v>
      </c>
      <c r="G7" s="35"/>
      <c r="H7" s="34"/>
      <c r="I7" s="34"/>
      <c r="J7" s="34">
        <f>$C$27*('E Balans VL '!D9+'E Balans VL '!E9)/100/3.6*1000000</f>
        <v>0</v>
      </c>
      <c r="K7" s="34"/>
      <c r="L7" s="34"/>
      <c r="M7" s="34"/>
      <c r="N7" s="34">
        <f>$C$27*'E Balans VL '!Y9/100/3.6*1000000</f>
        <v>0.10538302034022147</v>
      </c>
      <c r="O7" s="34"/>
      <c r="P7" s="34"/>
      <c r="R7" s="33"/>
    </row>
    <row r="8" spans="1:18">
      <c r="A8" s="6" t="s">
        <v>51</v>
      </c>
      <c r="B8" s="38">
        <f t="shared" si="0"/>
        <v>13410.132520428799</v>
      </c>
      <c r="C8" s="34"/>
      <c r="D8" s="38">
        <f>IF(ISERROR(TER_handel_gas_kWh/1000),0,TER_handel_gas_kWh/1000)*0.902</f>
        <v>9596.9269260071269</v>
      </c>
      <c r="E8" s="34">
        <f>$C$28*'E Balans VL '!I13/100/3.6*1000000</f>
        <v>72.215211508774061</v>
      </c>
      <c r="F8" s="34">
        <f>$C$28*('E Balans VL '!L13+'E Balans VL '!N13)/100/3.6*1000000</f>
        <v>2734.724534161141</v>
      </c>
      <c r="G8" s="35"/>
      <c r="H8" s="34"/>
      <c r="I8" s="34"/>
      <c r="J8" s="34">
        <f>$C$28*('E Balans VL '!D13+'E Balans VL '!E13)/100/3.6*1000000</f>
        <v>0</v>
      </c>
      <c r="K8" s="34"/>
      <c r="L8" s="34"/>
      <c r="M8" s="34"/>
      <c r="N8" s="34">
        <f>$C$28*'E Balans VL '!Y13/100/3.6*1000000</f>
        <v>66.681507336002866</v>
      </c>
      <c r="O8" s="34"/>
      <c r="P8" s="34"/>
      <c r="R8" s="33"/>
    </row>
    <row r="9" spans="1:18">
      <c r="A9" s="33" t="s">
        <v>50</v>
      </c>
      <c r="B9" s="38">
        <f t="shared" si="0"/>
        <v>805.52712470127597</v>
      </c>
      <c r="C9" s="34"/>
      <c r="D9" s="38">
        <f>IF(ISERROR(TER_gezond_gas_kWh/1000),0,TER_gezond_gas_kWh/1000)*0.902</f>
        <v>1882.3834023922843</v>
      </c>
      <c r="E9" s="34">
        <f>$C$29*'E Balans VL '!I10/100/3.6*1000000</f>
        <v>0.79828654099551499</v>
      </c>
      <c r="F9" s="34">
        <f>$C$29*('E Balans VL '!L10+'E Balans VL '!N10)/100/3.6*1000000</f>
        <v>279.49469384273323</v>
      </c>
      <c r="G9" s="35"/>
      <c r="H9" s="34"/>
      <c r="I9" s="34"/>
      <c r="J9" s="34">
        <f>$C$29*('E Balans VL '!D10+'E Balans VL '!E10)/100/3.6*1000000</f>
        <v>0</v>
      </c>
      <c r="K9" s="34"/>
      <c r="L9" s="34"/>
      <c r="M9" s="34"/>
      <c r="N9" s="34">
        <f>$C$29*'E Balans VL '!Y10/100/3.6*1000000</f>
        <v>6.94115745107064</v>
      </c>
      <c r="O9" s="34"/>
      <c r="P9" s="34"/>
      <c r="R9" s="33"/>
    </row>
    <row r="10" spans="1:18">
      <c r="A10" s="33" t="s">
        <v>49</v>
      </c>
      <c r="B10" s="38">
        <f t="shared" si="0"/>
        <v>1796.2032668603601</v>
      </c>
      <c r="C10" s="34"/>
      <c r="D10" s="38">
        <f>IF(ISERROR(TER_ander_gas_kWh/1000),0,TER_ander_gas_kWh/1000)*0.902</f>
        <v>1280.9220713273105</v>
      </c>
      <c r="E10" s="34">
        <f>$C$30*'E Balans VL '!I14/100/3.6*1000000</f>
        <v>14.694737900234326</v>
      </c>
      <c r="F10" s="34">
        <f>$C$30*('E Balans VL '!L14+'E Balans VL '!N14)/100/3.6*1000000</f>
        <v>525.1367087663333</v>
      </c>
      <c r="G10" s="35"/>
      <c r="H10" s="34"/>
      <c r="I10" s="34"/>
      <c r="J10" s="34">
        <f>$C$30*('E Balans VL '!D14+'E Balans VL '!E14)/100/3.6*1000000</f>
        <v>0</v>
      </c>
      <c r="K10" s="34"/>
      <c r="L10" s="34"/>
      <c r="M10" s="34"/>
      <c r="N10" s="34">
        <f>$C$30*'E Balans VL '!Y14/100/3.6*1000000</f>
        <v>1036.1736031960181</v>
      </c>
      <c r="O10" s="34"/>
      <c r="P10" s="34"/>
      <c r="R10" s="33"/>
    </row>
    <row r="11" spans="1:18">
      <c r="A11" s="33" t="s">
        <v>54</v>
      </c>
      <c r="B11" s="38">
        <f t="shared" si="0"/>
        <v>117.32299999999999</v>
      </c>
      <c r="C11" s="34"/>
      <c r="D11" s="38">
        <f>IF(ISERROR(TER_onderwijs_gas_kWh/1000),0,TER_onderwijs_gas_kWh/1000)*0.902</f>
        <v>0</v>
      </c>
      <c r="E11" s="34">
        <f>$C$31*'E Balans VL '!I11/100/3.6*1000000</f>
        <v>7.2312946851150361E-2</v>
      </c>
      <c r="F11" s="34">
        <f>$C$31*('E Balans VL '!L11+'E Balans VL '!N11)/100/3.6*1000000</f>
        <v>45.358971807188006</v>
      </c>
      <c r="G11" s="35"/>
      <c r="H11" s="34"/>
      <c r="I11" s="34"/>
      <c r="J11" s="34">
        <f>$C$31*('E Balans VL '!D11+'E Balans VL '!E11)/100/3.6*1000000</f>
        <v>0</v>
      </c>
      <c r="K11" s="34"/>
      <c r="L11" s="34"/>
      <c r="M11" s="34"/>
      <c r="N11" s="34">
        <f>$C$31*'E Balans VL '!Y11/100/3.6*1000000</f>
        <v>0.38162657721791327</v>
      </c>
      <c r="O11" s="34"/>
      <c r="P11" s="34"/>
      <c r="R11" s="33"/>
    </row>
    <row r="12" spans="1:18">
      <c r="A12" s="33" t="s">
        <v>255</v>
      </c>
      <c r="B12" s="38">
        <f t="shared" si="0"/>
        <v>6859.0176207525701</v>
      </c>
      <c r="C12" s="34"/>
      <c r="D12" s="38">
        <f>IF(ISERROR(TER_rest_gas_kWh/1000),0,TER_rest_gas_kWh/1000)*0.902</f>
        <v>14302.485958858932</v>
      </c>
      <c r="E12" s="34">
        <f>$C$32*'E Balans VL '!I8/100/3.6*1000000</f>
        <v>59.264249053544447</v>
      </c>
      <c r="F12" s="34">
        <f>$C$32*('E Balans VL '!L8+'E Balans VL '!N8)/100/3.6*1000000</f>
        <v>1366.2296503501593</v>
      </c>
      <c r="G12" s="35"/>
      <c r="H12" s="34"/>
      <c r="I12" s="34"/>
      <c r="J12" s="34">
        <f>$C$32*('E Balans VL '!D8+'E Balans VL '!E8)/100/3.6*1000000</f>
        <v>0</v>
      </c>
      <c r="K12" s="34"/>
      <c r="L12" s="34"/>
      <c r="M12" s="34"/>
      <c r="N12" s="34">
        <f>$C$32*'E Balans VL '!Y8/100/3.6*1000000</f>
        <v>451.13745174104946</v>
      </c>
      <c r="O12" s="34"/>
      <c r="P12" s="34"/>
      <c r="R12" s="33"/>
    </row>
    <row r="13" spans="1:18">
      <c r="A13" s="17" t="s">
        <v>495</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29493.551599093647</v>
      </c>
      <c r="C16" s="22">
        <f t="shared" ca="1" si="1"/>
        <v>0</v>
      </c>
      <c r="D16" s="22">
        <f t="shared" ca="1" si="1"/>
        <v>36736.281554517227</v>
      </c>
      <c r="E16" s="22">
        <f t="shared" si="1"/>
        <v>207.86991792995144</v>
      </c>
      <c r="F16" s="22">
        <f t="shared" ca="1" si="1"/>
        <v>5827.8700788036722</v>
      </c>
      <c r="G16" s="22">
        <f t="shared" si="1"/>
        <v>0</v>
      </c>
      <c r="H16" s="22">
        <f t="shared" si="1"/>
        <v>0</v>
      </c>
      <c r="I16" s="22">
        <f t="shared" si="1"/>
        <v>0</v>
      </c>
      <c r="J16" s="22">
        <f t="shared" si="1"/>
        <v>0</v>
      </c>
      <c r="K16" s="22">
        <f t="shared" si="1"/>
        <v>0</v>
      </c>
      <c r="L16" s="22">
        <f t="shared" ca="1" si="1"/>
        <v>0</v>
      </c>
      <c r="M16" s="22">
        <f t="shared" si="1"/>
        <v>0</v>
      </c>
      <c r="N16" s="22">
        <f t="shared" ca="1" si="1"/>
        <v>1562.5334731023297</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0.21629309658380952</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6379.2516046223318</v>
      </c>
      <c r="C20" s="24">
        <f t="shared" ref="C20:P20" ca="1" si="2">C16*C18</f>
        <v>0</v>
      </c>
      <c r="D20" s="24">
        <f t="shared" ca="1" si="2"/>
        <v>7420.7288740124804</v>
      </c>
      <c r="E20" s="24">
        <f t="shared" si="2"/>
        <v>47.186471370098978</v>
      </c>
      <c r="F20" s="24">
        <f t="shared" ca="1" si="2"/>
        <v>1556.0413110405805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5507.3984671974495</v>
      </c>
      <c r="C26" s="40">
        <f>IF(ISERROR(B26*3.6/1000000/'E Balans VL '!Z12*100),0,B26*3.6/1000000/'E Balans VL '!Z12*100)</f>
        <v>0.11702826790153495</v>
      </c>
      <c r="D26" s="236" t="s">
        <v>691</v>
      </c>
      <c r="F26" s="6"/>
    </row>
    <row r="27" spans="1:18">
      <c r="A27" s="231" t="s">
        <v>52</v>
      </c>
      <c r="B27" s="34">
        <f>IF(ISERROR(TER_horeca_ele_kWh/1000),0,TER_horeca_ele_kWh/1000)</f>
        <v>997.94959915319509</v>
      </c>
      <c r="C27" s="40">
        <f>IF(ISERROR(B27*3.6/1000000/'E Balans VL '!Z9*100),0,B27*3.6/1000000/'E Balans VL '!Z9*100)</f>
        <v>7.8546350564140222E-2</v>
      </c>
      <c r="D27" s="236" t="s">
        <v>691</v>
      </c>
      <c r="F27" s="6"/>
    </row>
    <row r="28" spans="1:18">
      <c r="A28" s="171" t="s">
        <v>51</v>
      </c>
      <c r="B28" s="34">
        <f>IF(ISERROR(TER_handel_ele_kWh/1000),0,TER_handel_ele_kWh/1000)</f>
        <v>13410.132520428799</v>
      </c>
      <c r="C28" s="40">
        <f>IF(ISERROR(B28*3.6/1000000/'E Balans VL '!Z13*100),0,B28*3.6/1000000/'E Balans VL '!Z13*100)</f>
        <v>0.37562498871679684</v>
      </c>
      <c r="D28" s="236" t="s">
        <v>691</v>
      </c>
      <c r="F28" s="6"/>
    </row>
    <row r="29" spans="1:18">
      <c r="A29" s="231" t="s">
        <v>50</v>
      </c>
      <c r="B29" s="34">
        <f>IF(ISERROR(TER_gezond_ele_kWh/1000),0,TER_gezond_ele_kWh/1000)</f>
        <v>805.52712470127597</v>
      </c>
      <c r="C29" s="40">
        <f>IF(ISERROR(B29*3.6/1000000/'E Balans VL '!Z10*100),0,B29*3.6/1000000/'E Balans VL '!Z10*100)</f>
        <v>0.10305127740853411</v>
      </c>
      <c r="D29" s="236" t="s">
        <v>691</v>
      </c>
      <c r="F29" s="6"/>
    </row>
    <row r="30" spans="1:18">
      <c r="A30" s="231" t="s">
        <v>49</v>
      </c>
      <c r="B30" s="34">
        <f>IF(ISERROR(TER_ander_ele_kWh/1000),0,TER_ander_ele_kWh/1000)</f>
        <v>1796.2032668603601</v>
      </c>
      <c r="C30" s="40">
        <f>IF(ISERROR(B30*3.6/1000000/'E Balans VL '!Z14*100),0,B30*3.6/1000000/'E Balans VL '!Z14*100)</f>
        <v>0.13434086928803529</v>
      </c>
      <c r="D30" s="236" t="s">
        <v>691</v>
      </c>
      <c r="F30" s="6"/>
    </row>
    <row r="31" spans="1:18">
      <c r="A31" s="231" t="s">
        <v>54</v>
      </c>
      <c r="B31" s="34">
        <f>IF(ISERROR(TER_onderwijs_ele_kWh/1000),0,TER_onderwijs_ele_kWh/1000)</f>
        <v>117.32299999999999</v>
      </c>
      <c r="C31" s="40">
        <f>IF(ISERROR(B31*3.6/1000000/'E Balans VL '!Z11*100),0,B31*3.6/1000000/'E Balans VL '!Z11*100)</f>
        <v>2.4772903422130042E-2</v>
      </c>
      <c r="D31" s="236" t="s">
        <v>691</v>
      </c>
    </row>
    <row r="32" spans="1:18">
      <c r="A32" s="231" t="s">
        <v>255</v>
      </c>
      <c r="B32" s="34">
        <f>IF(ISERROR(TER_rest_ele_kWh/1000),0,TER_rest_ele_kWh/1000)</f>
        <v>6859.0176207525701</v>
      </c>
      <c r="C32" s="40">
        <f>IF(ISERROR(B32*3.6/1000000/'E Balans VL '!Z8*100),0,B32*3.6/1000000/'E Balans VL '!Z8*100)</f>
        <v>5.650412119541328E-2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29700.516496243257</v>
      </c>
      <c r="C5" s="18">
        <f>IF(ISERROR('Eigen informatie GS &amp; warmtenet'!B59),0,'Eigen informatie GS &amp; warmtenet'!B59)</f>
        <v>0</v>
      </c>
      <c r="D5" s="31">
        <f>SUM(D6:D15)</f>
        <v>72301.274327942418</v>
      </c>
      <c r="E5" s="18">
        <f>SUM(E6:E15)</f>
        <v>359.3595458946786</v>
      </c>
      <c r="F5" s="18">
        <f>SUM(F6:F15)</f>
        <v>4744.3999111504136</v>
      </c>
      <c r="G5" s="19"/>
      <c r="H5" s="18"/>
      <c r="I5" s="18"/>
      <c r="J5" s="18">
        <f>SUM(J6:J15)</f>
        <v>36.802328541148491</v>
      </c>
      <c r="K5" s="18"/>
      <c r="L5" s="18"/>
      <c r="M5" s="18"/>
      <c r="N5" s="18">
        <f>SUM(N6:N15)</f>
        <v>1710.3334270321366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635.43861119563508</v>
      </c>
      <c r="C8" s="34"/>
      <c r="D8" s="38">
        <f>IF( ISERROR(IND_metaal_Gas_kWH/1000),0,IND_metaal_Gas_kWH/1000)*0.902</f>
        <v>43373.81935079152</v>
      </c>
      <c r="E8" s="34">
        <f>C30*'E Balans VL '!I18/100/3.6*1000000</f>
        <v>5.7868249182704261</v>
      </c>
      <c r="F8" s="34">
        <f>C30*'E Balans VL '!L18/100/3.6*1000000+C30*'E Balans VL '!N18/100/3.6*1000000</f>
        <v>83.809527213008494</v>
      </c>
      <c r="G8" s="35"/>
      <c r="H8" s="34"/>
      <c r="I8" s="34"/>
      <c r="J8" s="41">
        <f>C30*'E Balans VL '!D18/100/3.6*1000000+C30*'E Balans VL '!E18/100/3.6*1000000</f>
        <v>10.420270599967642</v>
      </c>
      <c r="K8" s="34"/>
      <c r="L8" s="34"/>
      <c r="M8" s="34"/>
      <c r="N8" s="34">
        <f>C30*'E Balans VL '!Y18/100/3.6*1000000</f>
        <v>2.1837500793386257</v>
      </c>
      <c r="O8" s="34"/>
      <c r="P8" s="34"/>
      <c r="R8" s="33"/>
    </row>
    <row r="9" spans="1:18">
      <c r="A9" s="6" t="s">
        <v>32</v>
      </c>
      <c r="B9" s="38">
        <f t="shared" si="0"/>
        <v>1188.24017135549</v>
      </c>
      <c r="C9" s="34"/>
      <c r="D9" s="38">
        <f>IF( ISERROR(IND_andere_gas_kWh/1000),0,IND_andere_gas_kWh/1000)*0.902</f>
        <v>1285.2975856408507</v>
      </c>
      <c r="E9" s="34">
        <f>C31*'E Balans VL '!I19/100/3.6*1000000</f>
        <v>6.868205758241178</v>
      </c>
      <c r="F9" s="34">
        <f>C31*'E Balans VL '!L19/100/3.6*1000000+C31*'E Balans VL '!N19/100/3.6*1000000</f>
        <v>945.3022321678061</v>
      </c>
      <c r="G9" s="35"/>
      <c r="H9" s="34"/>
      <c r="I9" s="34"/>
      <c r="J9" s="41">
        <f>C31*'E Balans VL '!D19/100/3.6*1000000+C31*'E Balans VL '!E19/100/3.6*1000000</f>
        <v>0.11239432161224035</v>
      </c>
      <c r="K9" s="34"/>
      <c r="L9" s="34"/>
      <c r="M9" s="34"/>
      <c r="N9" s="34">
        <f>C31*'E Balans VL '!Y19/100/3.6*1000000</f>
        <v>90.027174983778863</v>
      </c>
      <c r="O9" s="34"/>
      <c r="P9" s="34"/>
      <c r="R9" s="33"/>
    </row>
    <row r="10" spans="1:18">
      <c r="A10" s="6" t="s">
        <v>40</v>
      </c>
      <c r="B10" s="38">
        <f t="shared" si="0"/>
        <v>19489.647744628601</v>
      </c>
      <c r="C10" s="34"/>
      <c r="D10" s="38">
        <f>IF( ISERROR(IND_voed_gas_kWh/1000),0,IND_voed_gas_kWh/1000)*0.902</f>
        <v>20956.370302473326</v>
      </c>
      <c r="E10" s="34">
        <f>C32*'E Balans VL '!I20/100/3.6*1000000</f>
        <v>191.63422519726947</v>
      </c>
      <c r="F10" s="34">
        <f>C32*'E Balans VL '!L20/100/3.6*1000000+C32*'E Balans VL '!N20/100/3.6*1000000</f>
        <v>2164.5797734823341</v>
      </c>
      <c r="G10" s="35"/>
      <c r="H10" s="34"/>
      <c r="I10" s="34"/>
      <c r="J10" s="41">
        <f>C32*'E Balans VL '!D20/100/3.6*1000000+C32*'E Balans VL '!E20/100/3.6*1000000</f>
        <v>7.6817549529266796E-2</v>
      </c>
      <c r="K10" s="34"/>
      <c r="L10" s="34"/>
      <c r="M10" s="34"/>
      <c r="N10" s="34">
        <f>C32*'E Balans VL '!Y20/100/3.6*1000000</f>
        <v>288.59583861409141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3178.5914508535298</v>
      </c>
      <c r="C13" s="34"/>
      <c r="D13" s="38">
        <f>IF( ISERROR(IND_papier_gas_kWh/1000),0,IND_papier_gas_kWh/1000)*0.902</f>
        <v>3632.4302928878533</v>
      </c>
      <c r="E13" s="34">
        <f>C35*'E Balans VL '!I23/100/3.6*1000000</f>
        <v>108.26743347571357</v>
      </c>
      <c r="F13" s="34">
        <f>C35*'E Balans VL '!L23/100/3.6*1000000+C35*'E Balans VL '!N23/100/3.6*1000000</f>
        <v>525.02870774545761</v>
      </c>
      <c r="G13" s="35"/>
      <c r="H13" s="34"/>
      <c r="I13" s="34"/>
      <c r="J13" s="41">
        <f>C35*'E Balans VL '!D23/100/3.6*1000000+C35*'E Balans VL '!E23/100/3.6*1000000</f>
        <v>0</v>
      </c>
      <c r="K13" s="34"/>
      <c r="L13" s="34"/>
      <c r="M13" s="34"/>
      <c r="N13" s="34">
        <f>C35*'E Balans VL '!Y23/100/3.6*1000000</f>
        <v>1169.6364106994456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5208.5985182100003</v>
      </c>
      <c r="C15" s="34"/>
      <c r="D15" s="38">
        <f>IF( ISERROR(IND_rest_gas_kWh/1000),0,IND_rest_gas_kWh/1000)*0.902</f>
        <v>3053.3567961488575</v>
      </c>
      <c r="E15" s="34">
        <f>C37*'E Balans VL '!I15/100/3.6*1000000</f>
        <v>46.802856545183928</v>
      </c>
      <c r="F15" s="34">
        <f>C37*'E Balans VL '!L15/100/3.6*1000000+C37*'E Balans VL '!N15/100/3.6*1000000</f>
        <v>1025.6796705418074</v>
      </c>
      <c r="G15" s="35"/>
      <c r="H15" s="34"/>
      <c r="I15" s="34"/>
      <c r="J15" s="41">
        <f>C37*'E Balans VL '!D15/100/3.6*1000000+C37*'E Balans VL '!E15/100/3.6*1000000</f>
        <v>26.192846070039341</v>
      </c>
      <c r="K15" s="34"/>
      <c r="L15" s="34"/>
      <c r="M15" s="34"/>
      <c r="N15" s="34">
        <f>C37*'E Balans VL '!Y15/100/3.6*1000000</f>
        <v>159.89025265548199</v>
      </c>
      <c r="O15" s="34"/>
      <c r="P15" s="34"/>
      <c r="R15" s="33"/>
    </row>
    <row r="16" spans="1:18">
      <c r="A16" s="17" t="s">
        <v>495</v>
      </c>
      <c r="B16" s="246">
        <f>'lokale energieproductie'!N39+'lokale energieproductie'!N32</f>
        <v>18891</v>
      </c>
      <c r="C16" s="246">
        <f>'lokale energieproductie'!O39+'lokale energieproductie'!O32</f>
        <v>26987.142857142859</v>
      </c>
      <c r="D16" s="305">
        <f>('lokale energieproductie'!P32+'lokale energieproductie'!P39)*(-1)</f>
        <v>-53974.285714285717</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48591.516496243261</v>
      </c>
      <c r="C18" s="22">
        <f>C5+C16</f>
        <v>26987.142857142859</v>
      </c>
      <c r="D18" s="22">
        <f>MAX((D5+D16),0)</f>
        <v>18326.9886136567</v>
      </c>
      <c r="E18" s="22">
        <f>MAX((E5+E16),0)</f>
        <v>359.3595458946786</v>
      </c>
      <c r="F18" s="22">
        <f>MAX((F5+F16),0)</f>
        <v>4744.3999111504136</v>
      </c>
      <c r="G18" s="22"/>
      <c r="H18" s="22"/>
      <c r="I18" s="22"/>
      <c r="J18" s="22">
        <f>MAX((J5+J16),0)</f>
        <v>36.802328541148491</v>
      </c>
      <c r="K18" s="22"/>
      <c r="L18" s="22">
        <f>MAX((L5+L16),0)</f>
        <v>0</v>
      </c>
      <c r="M18" s="22"/>
      <c r="N18" s="22">
        <f>MAX((N5+N16),0)</f>
        <v>1710.3334270321366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0.21629309658380952</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10510.009570675717</v>
      </c>
      <c r="C22" s="24">
        <f ca="1">C18*C20</f>
        <v>6413.4151260504223</v>
      </c>
      <c r="D22" s="24">
        <f>D18*D20</f>
        <v>3702.0516999586539</v>
      </c>
      <c r="E22" s="24">
        <f>E18*E20</f>
        <v>81.574616918092048</v>
      </c>
      <c r="F22" s="24">
        <f>F18*F20</f>
        <v>1266.7547762771605</v>
      </c>
      <c r="G22" s="24"/>
      <c r="H22" s="24"/>
      <c r="I22" s="24"/>
      <c r="J22" s="24">
        <f>J18*J20</f>
        <v>13.028024303566564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635.43861119563508</v>
      </c>
      <c r="C30" s="40">
        <f>IF(ISERROR(B30*3.6/1000000/'E Balans VL '!Z18*100),0,B30*3.6/1000000/'E Balans VL '!Z18*100)</f>
        <v>3.5357909571500555E-2</v>
      </c>
      <c r="D30" s="236" t="s">
        <v>691</v>
      </c>
    </row>
    <row r="31" spans="1:18">
      <c r="A31" s="6" t="s">
        <v>32</v>
      </c>
      <c r="B31" s="38">
        <f>IF( ISERROR(IND_ander_ele_kWh/1000),0,IND_ander_ele_kWh/1000)</f>
        <v>1188.24017135549</v>
      </c>
      <c r="C31" s="40">
        <f>IF(ISERROR(B31*3.6/1000000/'E Balans VL '!Z19*100),0,B31*3.6/1000000/'E Balans VL '!Z19*100)</f>
        <v>5.5238164887927002E-2</v>
      </c>
      <c r="D31" s="236" t="s">
        <v>691</v>
      </c>
    </row>
    <row r="32" spans="1:18">
      <c r="A32" s="171" t="s">
        <v>40</v>
      </c>
      <c r="B32" s="38">
        <f>IF( ISERROR(IND_voed_ele_kWh/1000),0,IND_voed_ele_kWh/1000)</f>
        <v>19489.647744628601</v>
      </c>
      <c r="C32" s="40">
        <f>IF(ISERROR(B32*3.6/1000000/'E Balans VL '!Z20*100),0,B32*3.6/1000000/'E Balans VL '!Z20*100)</f>
        <v>0.68891968676204474</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3178.5914508535298</v>
      </c>
      <c r="C35" s="40">
        <f>IF(ISERROR(B35*3.6/1000000/'E Balans VL '!Z22*100),0,B35*3.6/1000000/'E Balans VL '!Z22*100)</f>
        <v>0.63880724837082414</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5208.5985182100003</v>
      </c>
      <c r="C37" s="40">
        <f>IF(ISERROR(B37*3.6/1000000/'E Balans VL '!Z15*100),0,B37*3.6/1000000/'E Balans VL '!Z15*100)</f>
        <v>3.93326130759847E-2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480.08851885548199</v>
      </c>
      <c r="C5" s="18">
        <f>'Eigen informatie GS &amp; warmtenet'!B60</f>
        <v>0</v>
      </c>
      <c r="D5" s="31">
        <f>IF(ISERROR(SUM(LB_lb_gas_kWh,LB_rest_gas_kWh)/1000),0,SUM(LB_lb_gas_kWh,LB_rest_gas_kWh)/1000)*0.902</f>
        <v>11584.742168790701</v>
      </c>
      <c r="E5" s="18">
        <f>B17*'E Balans VL '!I25/3.6*1000000/100</f>
        <v>4.5227555174780418</v>
      </c>
      <c r="F5" s="18">
        <f>B17*('E Balans VL '!L25/3.6*1000000+'E Balans VL '!N25/3.6*1000000)/100</f>
        <v>1566.688164412195</v>
      </c>
      <c r="G5" s="19"/>
      <c r="H5" s="18"/>
      <c r="I5" s="18"/>
      <c r="J5" s="18">
        <f>('E Balans VL '!D25+'E Balans VL '!E25)/3.6*1000000*landbouw!B17/100</f>
        <v>59.389284932530281</v>
      </c>
      <c r="K5" s="18"/>
      <c r="L5" s="18">
        <f>L6*(-1)</f>
        <v>0</v>
      </c>
      <c r="M5" s="18"/>
      <c r="N5" s="18">
        <f>N6*(-1)</f>
        <v>0</v>
      </c>
      <c r="O5" s="18"/>
      <c r="P5" s="18"/>
      <c r="R5" s="33"/>
    </row>
    <row r="6" spans="1:18">
      <c r="A6" s="17" t="s">
        <v>495</v>
      </c>
      <c r="B6" s="18" t="s">
        <v>210</v>
      </c>
      <c r="C6" s="18">
        <f>'lokale energieproductie'!O41+'lokale energieproductie'!O34</f>
        <v>10131.428571428571</v>
      </c>
      <c r="D6" s="305">
        <f>('lokale energieproductie'!P34+'lokale energieproductie'!P41)*(-1)</f>
        <v>-20262.857142857141</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480.08851885548199</v>
      </c>
      <c r="C8" s="22">
        <f>C5+C6</f>
        <v>10131.428571428571</v>
      </c>
      <c r="D8" s="22">
        <f>MAX((D5+D6),0)</f>
        <v>0</v>
      </c>
      <c r="E8" s="22">
        <f>MAX((E5+E6),0)</f>
        <v>4.5227555174780418</v>
      </c>
      <c r="F8" s="22">
        <f>MAX((F5+F6),0)</f>
        <v>1566.688164412195</v>
      </c>
      <c r="G8" s="22"/>
      <c r="H8" s="22"/>
      <c r="I8" s="22"/>
      <c r="J8" s="22">
        <f>MAX((J5+J6),0)</f>
        <v>59.389284932530281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0.21629309658380952</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103.83983237758683</v>
      </c>
      <c r="C12" s="24">
        <f ca="1">C8*C10</f>
        <v>2407.7042016806727</v>
      </c>
      <c r="D12" s="24">
        <f>D8*D10</f>
        <v>0</v>
      </c>
      <c r="E12" s="24">
        <f>E8*E10</f>
        <v>1.0266655024675155</v>
      </c>
      <c r="F12" s="24">
        <f>F8*F10</f>
        <v>418.30573989805606</v>
      </c>
      <c r="G12" s="24"/>
      <c r="H12" s="24"/>
      <c r="I12" s="24"/>
      <c r="J12" s="24">
        <f>J8*J10</f>
        <v>21.023806866115716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6.4996313883737777E-2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5.120864634200804</v>
      </c>
      <c r="C26" s="246">
        <f>B26*'GWP N2O_CH4'!B5</f>
        <v>107.53815731821689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0.55195017341394581</v>
      </c>
      <c r="C27" s="246">
        <f>B27*'GWP N2O_CH4'!B5</f>
        <v>11.590953641692861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9.4702912676577183E-2</v>
      </c>
      <c r="C28" s="246">
        <f>B28*'GWP N2O_CH4'!B4</f>
        <v>29.357902929738927</v>
      </c>
      <c r="D28" s="51"/>
    </row>
    <row r="29" spans="1:4">
      <c r="A29" s="42" t="s">
        <v>272</v>
      </c>
      <c r="B29" s="246">
        <f>B34*'ha_N2O bodem landbouw'!B4</f>
        <v>1.7373399290542471</v>
      </c>
      <c r="C29" s="246">
        <f>B29*'GWP N2O_CH4'!B4</f>
        <v>538.57537800681655</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4.6902708892009119E-4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3.3555811370866164E-5</v>
      </c>
      <c r="C5" s="435" t="s">
        <v>210</v>
      </c>
      <c r="D5" s="420">
        <f>SUM(D6:D11)</f>
        <v>3.6498851880887732E-5</v>
      </c>
      <c r="E5" s="420">
        <f>SUM(E6:E11)</f>
        <v>2.7531950943276984E-3</v>
      </c>
      <c r="F5" s="433" t="s">
        <v>210</v>
      </c>
      <c r="G5" s="420">
        <f>SUM(G6:G11)</f>
        <v>0.77971455878978024</v>
      </c>
      <c r="H5" s="420">
        <f>SUM(H6:H11)</f>
        <v>9.210007973474249E-2</v>
      </c>
      <c r="I5" s="435" t="s">
        <v>210</v>
      </c>
      <c r="J5" s="435" t="s">
        <v>210</v>
      </c>
      <c r="K5" s="435" t="s">
        <v>210</v>
      </c>
      <c r="L5" s="435" t="s">
        <v>210</v>
      </c>
      <c r="M5" s="420">
        <f>SUM(M6:M11)</f>
        <v>3.8912561327895931E-2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5.372214846472596E-6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6.256919097597328E-6</v>
      </c>
      <c r="E6" s="423">
        <f>vkm_GW_PW*SUMIFS(TableVerdeelsleutelVkm[LPG],TableVerdeelsleutelVkm[Voertuigtype],"Lichte voertuigen")*SUMIFS(TableECFTransport[EnergieConsumptieFactor (PJ per km)],TableECFTransport[Index],CONCATENATE($A6,"_LPG_LPG"))</f>
        <v>4.0593283260747913E-4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6.3333153817045462E-2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1.5263280049555647E-2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3.5171955340964319E-3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2.1332551870970623E-7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3.5288748643279563E-2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9.4692287531228883E-7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1.570234196235332E-3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1.8462285885540518E-6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3.5118444472683798E-6</v>
      </c>
      <c r="E8" s="423">
        <f>vkm_NGW_PW*SUMIFS(TableVerdeelsleutelVkm[LPG],TableVerdeelsleutelVkm[Voertuigtype],"Lichte voertuigen")*SUMIFS(TableECFTransport[EnergieConsumptieFactor (PJ per km)],TableECFTransport[Index],CONCATENATE($A8,"_LPG_LPG"))</f>
        <v>2.1586942866993239E-4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3.1706418459898369E-2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8.1662962884280384E-3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1.7848611712652919E-3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7.4058710375956059E-8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1.5709943314196954E-2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3.9679335384737719E-7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6.990400945732809E-4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2.3965650428332977E-5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2.6730088336022026E-5</v>
      </c>
      <c r="E10" s="423">
        <f>vkm_SW_PW*SUMIFS(TableVerdeelsleutelVkm[LPG],TableVerdeelsleutelVkm[Voertuigtype],"Lichte voertuigen")*SUMIFS(TableECFTransport[EnergieConsumptieFactor (PJ per km)],TableECFTransport[Index],CONCATENATE($A10,"_LPG_LPG"))</f>
        <v>2.1313928330502869E-3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0.31070155547684014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6.8659636776672736E-2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1.6969868819938623E-2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2.084333278420877E-6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0.3229747390785197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9.5229038569138947E-6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1.4371361511786975E-2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9.3210587141294887</v>
      </c>
      <c r="C14" s="22"/>
      <c r="D14" s="22">
        <f t="shared" ref="D14:M14" si="0">((D5)*10^9/3600)+D12</f>
        <v>10.138569966913259</v>
      </c>
      <c r="E14" s="22">
        <f t="shared" si="0"/>
        <v>764.77641509102739</v>
      </c>
      <c r="F14" s="22"/>
      <c r="G14" s="22">
        <f t="shared" si="0"/>
        <v>216587.37744160564</v>
      </c>
      <c r="H14" s="22">
        <f t="shared" si="0"/>
        <v>25583.355481872914</v>
      </c>
      <c r="I14" s="22"/>
      <c r="J14" s="22"/>
      <c r="K14" s="22"/>
      <c r="L14" s="22"/>
      <c r="M14" s="22">
        <f t="shared" si="0"/>
        <v>10809.044813304425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0.21629309658380952</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2.0160806527185691</v>
      </c>
      <c r="C18" s="24"/>
      <c r="D18" s="24">
        <f t="shared" ref="D18:M18" si="1">D14*D16</f>
        <v>2.0479911333164784</v>
      </c>
      <c r="E18" s="24">
        <f t="shared" si="1"/>
        <v>173.60424622566322</v>
      </c>
      <c r="F18" s="24"/>
      <c r="G18" s="24">
        <f t="shared" si="1"/>
        <v>57828.829776908708</v>
      </c>
      <c r="H18" s="24">
        <f t="shared" si="1"/>
        <v>6370.2555149863556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4.448232058255021E-5</v>
      </c>
      <c r="C50" s="316">
        <f t="shared" ref="C50:P50" si="2">SUM(C51:C52)</f>
        <v>0</v>
      </c>
      <c r="D50" s="316">
        <f t="shared" si="2"/>
        <v>0</v>
      </c>
      <c r="E50" s="316">
        <f t="shared" si="2"/>
        <v>0</v>
      </c>
      <c r="F50" s="316">
        <f t="shared" si="2"/>
        <v>0</v>
      </c>
      <c r="G50" s="316">
        <f t="shared" si="2"/>
        <v>8.8720865399914972E-3</v>
      </c>
      <c r="H50" s="316">
        <f t="shared" si="2"/>
        <v>0</v>
      </c>
      <c r="I50" s="316">
        <f t="shared" si="2"/>
        <v>0</v>
      </c>
      <c r="J50" s="316">
        <f t="shared" si="2"/>
        <v>0</v>
      </c>
      <c r="K50" s="316">
        <f t="shared" si="2"/>
        <v>0</v>
      </c>
      <c r="L50" s="316">
        <f t="shared" si="2"/>
        <v>0</v>
      </c>
      <c r="M50" s="316">
        <f t="shared" si="2"/>
        <v>3.9213677576503572E-4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4.448232058255021E-5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8.8720865399914972E-3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3.9213677576503572E-4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12.356200161819503</v>
      </c>
      <c r="C54" s="22">
        <f t="shared" ref="C54:P54" si="3">(C50)*10^9/3600</f>
        <v>0</v>
      </c>
      <c r="D54" s="22">
        <f t="shared" si="3"/>
        <v>0</v>
      </c>
      <c r="E54" s="22">
        <f t="shared" si="3"/>
        <v>0</v>
      </c>
      <c r="F54" s="22">
        <f t="shared" si="3"/>
        <v>0</v>
      </c>
      <c r="G54" s="22">
        <f t="shared" si="3"/>
        <v>2464.4684833309716</v>
      </c>
      <c r="H54" s="22">
        <f t="shared" si="3"/>
        <v>0</v>
      </c>
      <c r="I54" s="22">
        <f t="shared" si="3"/>
        <v>0</v>
      </c>
      <c r="J54" s="22">
        <f t="shared" si="3"/>
        <v>0</v>
      </c>
      <c r="K54" s="22">
        <f t="shared" si="3"/>
        <v>0</v>
      </c>
      <c r="L54" s="22">
        <f t="shared" si="3"/>
        <v>0</v>
      </c>
      <c r="M54" s="22">
        <f t="shared" si="3"/>
        <v>108.92688215695436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0.21629309658380952</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2.6725607950093084</v>
      </c>
      <c r="C58" s="24">
        <f t="shared" ref="C58:P58" ca="1" si="4">C54*C56</f>
        <v>0</v>
      </c>
      <c r="D58" s="24">
        <f t="shared" si="4"/>
        <v>0</v>
      </c>
      <c r="E58" s="24">
        <f t="shared" si="4"/>
        <v>0</v>
      </c>
      <c r="F58" s="24">
        <f t="shared" si="4"/>
        <v>0</v>
      </c>
      <c r="G58" s="24">
        <f t="shared" si="4"/>
        <v>658.01308504936947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4151.6325411946282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25983</v>
      </c>
      <c r="C8" s="546">
        <f>B50</f>
        <v>30568.235294117643</v>
      </c>
      <c r="D8" s="969"/>
      <c r="E8" s="969">
        <f>E50</f>
        <v>0</v>
      </c>
      <c r="F8" s="970"/>
      <c r="G8" s="547"/>
      <c r="H8" s="969">
        <f>I50</f>
        <v>0</v>
      </c>
      <c r="I8" s="969">
        <f>G50+F50</f>
        <v>0</v>
      </c>
      <c r="J8" s="969">
        <f>H50+D50+C50</f>
        <v>0</v>
      </c>
      <c r="K8" s="969"/>
      <c r="L8" s="969"/>
      <c r="M8" s="969"/>
      <c r="N8" s="548"/>
      <c r="O8" s="549">
        <f>C8*$C$12+D8*$D$12+E8*$E$12+F8*$F$12+G8*$G$12+H8*$H$12+I8*$I$12+J8*$J$12</f>
        <v>6174.783529411764</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30134.632541194627</v>
      </c>
      <c r="C10" s="558">
        <f t="shared" ref="C10:L10" si="0">SUM(C8:C9)</f>
        <v>30568.235294117643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6174.783529411764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37118.571428571428</v>
      </c>
      <c r="C17" s="570">
        <f>B51</f>
        <v>43668.907563025212</v>
      </c>
      <c r="D17" s="571"/>
      <c r="E17" s="571">
        <f>E51</f>
        <v>0</v>
      </c>
      <c r="F17" s="572"/>
      <c r="G17" s="573"/>
      <c r="H17" s="570">
        <f>I51</f>
        <v>0</v>
      </c>
      <c r="I17" s="571">
        <f>G51+F51</f>
        <v>0</v>
      </c>
      <c r="J17" s="571">
        <f>H51+D51+C51</f>
        <v>0</v>
      </c>
      <c r="K17" s="571"/>
      <c r="L17" s="571"/>
      <c r="M17" s="571"/>
      <c r="N17" s="976"/>
      <c r="O17" s="574">
        <f>C17*$C$22+E17*$E$22+H17*$H$22+I17*$I$22+J17*$J$22+D17*$D$22+F17*$F$22+G17*$G$22+K17*$K$22+L17*$L$22</f>
        <v>8821.119327731094</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37118.571428571428</v>
      </c>
      <c r="C20" s="557">
        <f>SUM(C17:C19)</f>
        <v>43668.907563025212</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8821.119327731094</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11052</v>
      </c>
      <c r="C28" s="777">
        <v>2160</v>
      </c>
      <c r="D28" s="630" t="s">
        <v>965</v>
      </c>
      <c r="E28" s="629" t="s">
        <v>966</v>
      </c>
      <c r="F28" s="629" t="s">
        <v>967</v>
      </c>
      <c r="G28" s="629" t="s">
        <v>968</v>
      </c>
      <c r="H28" s="629" t="s">
        <v>969</v>
      </c>
      <c r="I28" s="629" t="s">
        <v>966</v>
      </c>
      <c r="J28" s="776">
        <v>39750</v>
      </c>
      <c r="K28" s="776">
        <v>39750</v>
      </c>
      <c r="L28" s="629" t="s">
        <v>970</v>
      </c>
      <c r="M28" s="629">
        <v>290</v>
      </c>
      <c r="N28" s="629">
        <v>1305</v>
      </c>
      <c r="O28" s="629">
        <v>1864.2857142857142</v>
      </c>
      <c r="P28" s="629">
        <v>3728.5714285714289</v>
      </c>
      <c r="Q28" s="629">
        <v>0</v>
      </c>
      <c r="R28" s="629">
        <v>0</v>
      </c>
      <c r="S28" s="629">
        <v>0</v>
      </c>
      <c r="T28" s="629">
        <v>0</v>
      </c>
      <c r="U28" s="629">
        <v>0</v>
      </c>
      <c r="V28" s="629">
        <v>0</v>
      </c>
      <c r="W28" s="629"/>
      <c r="X28" s="629">
        <v>10</v>
      </c>
      <c r="Y28" s="629" t="s">
        <v>111</v>
      </c>
      <c r="Z28" s="631" t="s">
        <v>111</v>
      </c>
    </row>
    <row r="29" spans="1:26" s="583" customFormat="1" ht="38.25">
      <c r="A29" s="582"/>
      <c r="B29" s="777">
        <v>11052</v>
      </c>
      <c r="C29" s="777">
        <v>2160</v>
      </c>
      <c r="D29" s="630" t="s">
        <v>971</v>
      </c>
      <c r="E29" s="629" t="s">
        <v>972</v>
      </c>
      <c r="F29" s="629" t="s">
        <v>973</v>
      </c>
      <c r="G29" s="629" t="s">
        <v>968</v>
      </c>
      <c r="H29" s="629" t="s">
        <v>969</v>
      </c>
      <c r="I29" s="629" t="s">
        <v>972</v>
      </c>
      <c r="J29" s="776">
        <v>40246</v>
      </c>
      <c r="K29" s="776">
        <v>39468</v>
      </c>
      <c r="L29" s="629" t="s">
        <v>974</v>
      </c>
      <c r="M29" s="629">
        <v>4198</v>
      </c>
      <c r="N29" s="629">
        <v>18891</v>
      </c>
      <c r="O29" s="629">
        <v>26987.142857142859</v>
      </c>
      <c r="P29" s="629">
        <v>53974.285714285717</v>
      </c>
      <c r="Q29" s="629">
        <v>0</v>
      </c>
      <c r="R29" s="629">
        <v>0</v>
      </c>
      <c r="S29" s="629">
        <v>0</v>
      </c>
      <c r="T29" s="629">
        <v>0</v>
      </c>
      <c r="U29" s="629">
        <v>0</v>
      </c>
      <c r="V29" s="629">
        <v>0</v>
      </c>
      <c r="W29" s="629"/>
      <c r="X29" s="629">
        <v>800</v>
      </c>
      <c r="Y29" s="629" t="s">
        <v>35</v>
      </c>
      <c r="Z29" s="631" t="s">
        <v>384</v>
      </c>
    </row>
    <row r="30" spans="1:26" s="583" customFormat="1" ht="25.5">
      <c r="A30" s="582"/>
      <c r="B30" s="777">
        <v>11052</v>
      </c>
      <c r="C30" s="777">
        <v>2160</v>
      </c>
      <c r="D30" s="630" t="s">
        <v>975</v>
      </c>
      <c r="E30" s="629" t="s">
        <v>976</v>
      </c>
      <c r="F30" s="629" t="s">
        <v>977</v>
      </c>
      <c r="G30" s="629" t="s">
        <v>968</v>
      </c>
      <c r="H30" s="629" t="s">
        <v>969</v>
      </c>
      <c r="I30" s="629" t="s">
        <v>976</v>
      </c>
      <c r="J30" s="776">
        <v>40590</v>
      </c>
      <c r="K30" s="776">
        <v>40655</v>
      </c>
      <c r="L30" s="629" t="s">
        <v>974</v>
      </c>
      <c r="M30" s="629">
        <v>1286</v>
      </c>
      <c r="N30" s="629">
        <v>5787</v>
      </c>
      <c r="O30" s="629">
        <v>8267.1428571428569</v>
      </c>
      <c r="P30" s="629">
        <v>16534.285714285714</v>
      </c>
      <c r="Q30" s="629">
        <v>0</v>
      </c>
      <c r="R30" s="629">
        <v>0</v>
      </c>
      <c r="S30" s="629">
        <v>0</v>
      </c>
      <c r="T30" s="629">
        <v>0</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5774</v>
      </c>
      <c r="N31" s="587">
        <f>SUM(N28:N30)</f>
        <v>25983</v>
      </c>
      <c r="O31" s="587">
        <f>SUM(O28:O30)</f>
        <v>37118.571428571428</v>
      </c>
      <c r="P31" s="587">
        <f>SUM(P28:P30)</f>
        <v>74237.142857142855</v>
      </c>
      <c r="Q31" s="587">
        <f>SUM(Q28:Q30)</f>
        <v>0</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4198</v>
      </c>
      <c r="N32" s="587">
        <f>SUMIF($Z$28:$Z$30,"industrie",N28:N30)</f>
        <v>18891</v>
      </c>
      <c r="O32" s="587">
        <f>SUMIF($Z$28:$Z$30,"industrie",O28:O30)</f>
        <v>26987.142857142859</v>
      </c>
      <c r="P32" s="587">
        <f>SUMIF($Z$28:$Z$30,"industrie",P28:P30)</f>
        <v>53974.285714285717</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1576</v>
      </c>
      <c r="N34" s="592">
        <f>SUMIF($Z$28:$Z$30,"landbouw",N28:N30)</f>
        <v>7092</v>
      </c>
      <c r="O34" s="592">
        <f>SUMIF($Z$28:$Z$30,"landbouw",O28:O30)</f>
        <v>10131.428571428571</v>
      </c>
      <c r="P34" s="592">
        <f>SUMIF($Z$28:$Z$30,"landbouw",P28:P30)</f>
        <v>20262.857142857141</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0.58823529411764708</v>
      </c>
      <c r="C47" s="612">
        <f>IF(ISERROR(N31/(O31+N31)),0,N31/(N31+O31))</f>
        <v>0.41176470588235292</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30568.235294117643</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43668.907563025212</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2021-06-29T16:37:23Z</dcterms:modified>
</cp:coreProperties>
</file>