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F48" i="18" l="1"/>
  <c r="I48" i="18"/>
  <c r="H8" i="18" s="1"/>
  <c r="H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<sst xmlns="http://schemas.openxmlformats.org/spreadsheetml/2006/main" count="2565" uniqueCount="965">
  <si>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</si>
  <si>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</si>
  <si>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</si>
  <si>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</si>
  <si>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</si>
  <si>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</si>
  <si>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</si>
  <si>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</si>
  <si>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</si>
  <si>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</si>
  <si>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</si>
  <si>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</si>
  <si>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</si>
  <si>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</si>
  <si>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</si>
  <si>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</si>
  <si>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</si>
  <si>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</si>
  <si>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</si>
  <si>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</si>
  <si>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</si>
  <si>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</si>
  <si>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</si>
  <si>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</si>
  <si>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</si>
  <si>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</si>
  <si>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</si>
  <si>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</si>
  <si>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</si>
  <si>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</si>
  <si>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</si>
  <si>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</si>
  <si>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</si>
  <si>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</si>
  <si>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</si>
  <si>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</si>
  <si>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</si>
  <si>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</si>
  <si>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</si>
  <si>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</si>
  <si>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</si>
  <si>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</si>
  <si>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</si>
  <si>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</si>
  <si>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</si>
  <si>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</si>
  <si>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</si>
  <si>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</si>
  <si>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</si>
  <si>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</si>
  <si>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</si>
  <si>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</si>
  <si>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</si>
  <si>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</si>
  <si>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</si>
  <si>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</si>
  <si>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</si>
  <si>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</si>
  <si>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</si>
  <si>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</si>
  <si>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</si>
  <si>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</si>
  <si>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</si>
  <si>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</si>
  <si>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</si>
  <si>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</si>
  <si>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</si>
  <si>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</si>
  <si>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</si>
  <si>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</si>
  <si>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</si>
  <si>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</si>
  <si>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</si>
  <si>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</si>
  <si>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</si>
  <si>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</si>
  <si>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</si>
  <si>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</si>
  <si>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</si>
  <si>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</si>
  <si>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</si>
  <si>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</si>
  <si>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</si>
  <si>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</si>
  <si>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</si>
  <si>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</si>
  <si>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</si>
  <si>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</si>
  <si>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</si>
  <si>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</si>
  <si>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</si>
  <si>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</si>
  <si>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</si>
  <si>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</si>
  <si>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</si>
  <si>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</si>
  <si>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</si>
  <si>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</si>
  <si>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</si>
  <si>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</si>
  <si>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</si>
  <si>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</si>
  <si>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</si>
  <si>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</si>
  <si>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</si>
  <si>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</si>
  <si>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</si>
  <si>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</si>
  <si>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</si>
  <si>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</si>
  <si>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</si>
  <si>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</si>
  <si>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</si>
  <si>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</si>
  <si>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</si>
  <si>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</si>
  <si>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</si>
  <si>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</si>
  <si>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</si>
  <si>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</si>
  <si>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</si>
  <si>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</si>
  <si>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</si>
  <si>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</si>
  <si>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</si>
  <si>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</si>
  <si>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</si>
  <si>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</si>
  <si>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</si>
  <si>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</si>
  <si>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</si>
  <si>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</si>
  <si>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</si>
  <si>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</si>
  <si>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</si>
  <si>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</si>
  <si>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</si>
  <si>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</si>
  <si>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</si>
  <si>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</si>
  <si>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</si>
  <si>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</si>
  <si>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</si>
  <si>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</si>
  <si>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</si>
  <si>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</si>
  <si>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</si>
  <si>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</si>
  <si>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</si>
  <si>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</si>
  <si>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</si>
  <si>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</si>
  <si>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</si>
  <si>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</si>
  <si>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</si>
  <si>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</si>
  <si>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</si>
  <si>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</si>
  <si>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</si>
  <si>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</si>
  <si>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</si>
  <si>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</si>
  <si>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</si>
  <si>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</si>
  <si>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</si>
  <si>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</si>
  <si>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</si>
  <si>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</si>
  <si>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</si>
  <si>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</si>
  <si>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</si>
  <si>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</si>
  <si>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</si>
  <si>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</si>
  <si>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</si>
  <si>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</si>
  <si>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</si>
  <si>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</si>
  <si>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</si>
  <si>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</si>
  <si>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</si>
  <si>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</si>
  <si>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</si>
  <si>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</si>
  <si>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</si>
  <si>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</si>
  <si>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</si>
  <si>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</si>
  <si>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</si>
  <si>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</si>
  <si>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</si>
  <si>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</si>
  <si>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</si>
  <si>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</si>
  <si>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</si>
  <si>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</si>
  <si>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</si>
  <si>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</si>
  <si>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</si>
  <si>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</si>
  <si>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</si>
  <si>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</si>
  <si>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</si>
  <si>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</si>
  <si>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</si>
  <si>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</si>
  <si>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</si>
  <si>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</si>
  <si>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</si>
  <si>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</si>
  <si>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</si>
  <si>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</si>
  <si>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</si>
  <si>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</si>
  <si>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</si>
  <si>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</si>
  <si>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</si>
  <si>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</si>
  <si>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</si>
  <si>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</si>
  <si>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</si>
  <si>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</si>
  <si>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</si>
  <si>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</si>
  <si>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</si>
  <si>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</si>
  <si>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</si>
  <si>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</si>
  <si>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</si>
  <si>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</si>
  <si>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</si>
  <si>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</si>
  <si>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</si>
  <si>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</si>
  <si>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</si>
  <si>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</si>
  <si>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</si>
  <si>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</si>
  <si>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</si>
  <si>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</si>
  <si>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</si>
  <si>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</si>
  <si>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</si>
  <si>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</si>
  <si>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</si>
  <si>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</si>
  <si>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</si>
  <si>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</si>
  <si>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</si>
  <si>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</si>
  <si>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</si>
  <si>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</si>
  <si>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</si>
  <si>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</si>
  <si>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</si>
  <si>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</si>
  <si>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</si>
  <si>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</si>
  <si>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</si>
  <si>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</si>
  <si>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</si>
  <si>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</si>
  <si>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</si>
  <si>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</si>
  <si>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</si>
  <si>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</si>
  <si>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</si>
  <si>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</si>
  <si>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</si>
  <si>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</si>
  <si>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</si>
  <si>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</si>
  <si>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</si>
  <si>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</si>
  <si>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</si>
  <si>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</si>
  <si>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</si>
  <si>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</si>
  <si>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</si>
  <si>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</si>
  <si>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</si>
  <si>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</si>
  <si>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</si>
  <si>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</si>
  <si>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</si>
  <si>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</si>
  <si>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</si>
  <si>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</si>
  <si>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</si>
  <si>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</si>
  <si>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</si>
  <si>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</si>
  <si>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</si>
  <si>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</si>
  <si>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</si>
  <si>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</si>
  <si>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</si>
  <si>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</si>
  <si>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</si>
  <si>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</si>
  <si>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</si>
  <si>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</si>
  <si>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</si>
  <si>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</si>
  <si>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</si>
  <si>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</si>
  <si>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</si>
  <si>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</si>
  <si>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</si>
  <si>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</si>
  <si>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</si>
  <si>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</si>
  <si>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</si>
  <si>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</si>
  <si>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</si>
  <si>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</si>
  <si>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</si>
  <si>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</si>
  <si>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</si>
  <si>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</si>
  <si>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</si>
  <si>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</si>
  <si>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</si>
  <si>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</si>
  <si>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</si>
  <si>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</si>
  <si>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</si>
  <si>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</si>
  <si>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</si>
  <si>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</si>
  <si>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</si>
  <si>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</si>
  <si>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</si>
  <si>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</si>
  <si>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</si>
  <si>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</si>
  <si>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</si>
  <si>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</si>
  <si>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</si>
  <si>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</si>
  <si>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</si>
  <si>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</si>
  <si>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</si>
  <si>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</si>
  <si>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</si>
  <si>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</si>
  <si>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</si>
  <si>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</si>
  <si>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</si>
  <si>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</si>
  <si>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</si>
  <si>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</si>
  <si>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</si>
  <si>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</si>
  <si>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</si>
  <si>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</si>
  <si>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</si>
  <si>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</si>
  <si>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</si>
  <si>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</si>
  <si>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</si>
  <si>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</si>
  <si>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</si>
  <si>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</si>
  <si>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</si>
  <si>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</si>
  <si>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</si>
  <si>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</si>
  <si>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</si>
  <si>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</si>
  <si>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</si>
  <si>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</si>
  <si>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</si>
  <si>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</si>
  <si>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</si>
  <si>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</si>
  <si>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</si>
  <si>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</si>
  <si>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</si>
  <si>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</si>
  <si>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</si>
  <si>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</si>
  <si>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</si>
  <si>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</si>
  <si>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</si>
  <si>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</si>
  <si>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</si>
  <si>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</si>
  <si>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</si>
  <si>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</si>
  <si>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</si>
  <si>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</si>
  <si>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</si>
  <si>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</si>
  <si>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</si>
  <si>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</si>
  <si>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</si>
  <si>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</si>
  <si>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</si>
  <si>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</si>
  <si>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</si>
  <si>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</si>
  <si>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</si>
  <si>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</si>
  <si>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</si>
  <si>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</si>
  <si>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</si>
  <si>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</si>
  <si>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</si>
  <si>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</si>
  <si>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</si>
  <si>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</si>
  <si>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</si>
  <si>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</si>
  <si>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</si>
  <si>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</si>
  <si>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</si>
  <si>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</si>
  <si>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</si>
  <si>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</si>
  <si>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</si>
  <si>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</si>
  <si>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</si>
  <si>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</si>
  <si>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</si>
  <si>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</si>
  <si>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</si>
  <si>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</si>
  <si>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</si>
  <si>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</si>
  <si>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</si>
  <si>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</si>
  <si>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</si>
  <si>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</si>
  <si>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</si>
  <si>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</si>
  <si>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</si>
  <si>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</si>
  <si>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</si>
  <si>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</si>
  <si>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</si>
  <si>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</si>
  <si>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</si>
  <si>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</si>
  <si>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</si>
  <si>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</si>
  <si>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</si>
  <si>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</si>
  <si>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</si>
  <si>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</si>
  <si>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</si>
  <si>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</si>
  <si>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</si>
  <si>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</si>
  <si>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</si>
  <si>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</si>
  <si>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</si>
  <si>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</si>
  <si>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</si>
  <si>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</si>
  <si>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</si>
  <si>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</si>
  <si>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</si>
  <si>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</si>
  <si>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</si>
  <si>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</si>
  <si>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</si>
  <si>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</si>
  <si>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</si>
  <si>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</si>
  <si>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</si>
  <si>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</si>
  <si>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</si>
  <si>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</si>
  <si>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</si>
  <si>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</si>
  <si>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</si>
  <si>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</si>
  <si>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</si>
  <si>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</si>
  <si>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</si>
  <si>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</si>
  <si>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</si>
  <si>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</si>
  <si>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</si>
  <si>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</si>
  <si>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</si>
  <si>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</si>
  <si>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</si>
  <si>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</si>
  <si>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</si>
  <si>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</si>
  <si>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</si>
  <si>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</si>
  <si>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</si>
  <si>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</si>
  <si>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</si>
  <si>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</si>
  <si>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</si>
  <si>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</si>
  <si>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</si>
  <si>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</si>
  <si>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</si>
  <si>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</si>
  <si>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</si>
  <si>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</si>
  <si>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</si>
  <si>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</si>
  <si>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</si>
  <si>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</si>
  <si>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</si>
  <si>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</si>
  <si>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</si>
  <si>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</si>
  <si>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</si>
  <si>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</si>
  <si>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</si>
  <si>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</si>
  <si>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</si>
  <si>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</si>
  <si>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</si>
  <si>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</si>
  <si>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</si>
  <si>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</si>
  <si>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</si>
  <si>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</si>
  <si>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</si>
  <si>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</si>
  <si>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</si>
  <si>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</si>
  <si>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</si>
  <si>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</si>
  <si>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</si>
  <si>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</si>
  <si>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</si>
  <si>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</si>
  <si>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</si>
  <si>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</si>
  <si>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</si>
  <si>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</si>
  <si>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</si>
  <si>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</si>
  <si>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</si>
  <si>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</si>
  <si>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</si>
  <si>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</si>
  <si>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</si>
  <si>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</si>
  <si>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</si>
  <si>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</si>
  <si>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</si>
  <si>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</si>
  <si>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</si>
  <si>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</si>
  <si>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</si>
  <si>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</si>
  <si>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</si>
  <si>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</si>
  <si>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</si>
  <si>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</si>
  <si>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</si>
  <si>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</si>
  <si>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</si>
  <si>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</si>
  <si>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</si>
  <si>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</si>
  <si>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</si>
  <si>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</si>
  <si>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</si>
  <si>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</si>
  <si>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</si>
  <si>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</si>
  <si>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</si>
  <si>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</si>
  <si>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</si>
  <si>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</si>
  <si>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</si>
  <si>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</si>
  <si>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</si>
  <si>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</si>
  <si>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</si>
  <si>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</si>
  <si>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</si>
  <si>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</si>
  <si>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</si>
  <si>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</si>
  <si>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</si>
  <si>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</si>
  <si>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</si>
  <si>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</si>
  <si>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</si>
  <si>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</si>
  <si>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</si>
  <si>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</si>
  <si>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</si>
  <si>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</si>
  <si>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</si>
  <si>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</si>
  <si>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</si>
  <si>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</si>
  <si>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</si>
  <si>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</si>
  <si>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</si>
  <si>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</si>
  <si>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</si>
  <si>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</si>
  <si>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</si>
  <si>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</si>
  <si>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</si>
  <si>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</si>
  <si>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</si>
  <si>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</si>
  <si>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</si>
  <si>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</si>
  <si>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</si>
  <si>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</si>
  <si>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</si>
  <si>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</si>
  <si>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</si>
  <si>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</si>
  <si>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</si>
  <si>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</si>
  <si>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</si>
  <si>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</si>
  <si>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</si>
  <si>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</si>
  <si>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</si>
  <si>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</si>
  <si>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</si>
  <si>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</si>
  <si>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</si>
  <si>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</si>
  <si>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</si>
  <si>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</si>
  <si>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</si>
  <si>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</si>
  <si>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</si>
  <si>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</si>
  <si>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</si>
  <si>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</si>
  <si>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</si>
  <si>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</si>
  <si>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</si>
  <si>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</si>
  <si>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</si>
  <si>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</si>
  <si>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</si>
  <si>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</si>
  <si>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</si>
  <si>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</si>
  <si>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</si>
  <si>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</si>
  <si>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</si>
  <si>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</si>
  <si>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</si>
  <si>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</si>
  <si>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</si>
  <si>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</si>
  <si>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</si>
  <si>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</si>
  <si>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</si>
  <si>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</si>
  <si>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</si>
  <si>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</si>
  <si>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</si>
  <si>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</si>
  <si>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</si>
  <si>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</si>
  <si>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</si>
  <si>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</si>
  <si>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</si>
  <si>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</si>
  <si>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</si>
  <si>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</si>
  <si>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</si>
  <si>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</si>
  <si>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</si>
  <si>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</si>
  <si>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</si>
  <si>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</si>
  <si>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</si>
  <si>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</si>
  <si>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</si>
  <si>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</si>
  <si>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</si>
  <si>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</si>
  <si>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</si>
  <si>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</si>
  <si>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</si>
  <si>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</si>
  <si>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</si>
  <si>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</si>
  <si>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</si>
  <si>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</si>
  <si>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</si>
  <si>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</si>
  <si>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</si>
  <si>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</si>
  <si>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</si>
  <si>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</si>
  <si>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</si>
  <si>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</si>
  <si>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</si>
  <si>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</si>
  <si>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</si>
  <si>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</si>
  <si>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</si>
  <si>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</si>
  <si>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</si>
  <si>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</si>
  <si>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</si>
  <si>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</si>
  <si>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</si>
  <si>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</si>
  <si>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</si>
  <si>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</si>
  <si>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</si>
  <si>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</si>
  <si>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</si>
  <si>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</si>
  <si>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</si>
  <si>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</si>
  <si>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</si>
  <si>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</si>
  <si>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</si>
  <si>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</si>
  <si>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</si>
  <si>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</si>
  <si>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</si>
  <si>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</si>
  <si>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</si>
  <si>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</si>
  <si>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</si>
  <si>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</si>
  <si>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</si>
  <si>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</si>
  <si>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</si>
  <si>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</si>
  <si>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</si>
  <si>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</si>
  <si>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</si>
  <si>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</si>
  <si>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</si>
  <si>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</si>
  <si>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</si>
  <si>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</si>
  <si>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</si>
  <si>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</si>
  <si>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</si>
  <si>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</si>
  <si>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</si>
  <si>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</si>
  <si>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</si>
  <si>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</si>
  <si>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</si>
  <si>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</si>
  <si>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</si>
  <si>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</si>
  <si>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</si>
  <si>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</si>
  <si>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</si>
  <si>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</si>
  <si>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</si>
  <si>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</si>
  <si>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</si>
  <si>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</si>
  <si>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</si>
  <si>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</si>
  <si>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</si>
  <si>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</si>
  <si>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</si>
  <si>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</si>
  <si>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</si>
  <si>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</si>
  <si>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</si>
  <si>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</si>
  <si>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</si>
  <si>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</si>
  <si>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</si>
  <si>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</si>
  <si>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</si>
  <si>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</si>
  <si>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</si>
  <si>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</si>
  <si>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</si>
  <si>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</si>
  <si>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</si>
  <si>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</si>
  <si>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</si>
  <si>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</si>
  <si>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</si>
  <si>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</si>
  <si>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</si>
  <si>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</si>
  <si>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</si>
  <si>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</si>
  <si>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</si>
  <si>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</si>
  <si>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</si>
  <si>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</si>
  <si>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</si>
  <si>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</si>
  <si>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</si>
  <si>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</si>
  <si>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</si>
  <si>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</si>
  <si>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</si>
  <si>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</si>
  <si>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</si>
  <si>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</si>
  <si>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</si>
  <si>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</si>
  <si>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</si>
  <si>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</si>
  <si>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</si>
  <si>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</si>
  <si>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</si>
  <si>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</si>
  <si>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</si>
  <si>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</si>
  <si>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</si>
  <si>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</si>
  <si>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</si>
  <si>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</si>
  <si>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</si>
  <si>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</si>
  <si>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</si>
  <si>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</si>
  <si>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</si>
  <si>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</si>
  <si>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</si>
  <si>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</si>
  <si>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</si>
  <si>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</si>
  <si>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</si>
  <si>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</si>
  <si>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</si>
  <si>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</si>
  <si>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</si>
  <si>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</si>
  <si>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</si>
  <si>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</si>
  <si>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</si>
  <si>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</si>
  <si>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</si>
  <si>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</si>
  <si>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</si>
  <si>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</si>
  <si>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</si>
  <si>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</si>
  <si>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</si>
  <si>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</si>
  <si>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</si>
  <si>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</si>
  <si>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</si>
  <si>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</si>
  <si>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</si>
  <si>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</si>
  <si>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</si>
  <si>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</si>
  <si>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</si>
  <si>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</si>
  <si>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</si>
  <si>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</si>
  <si>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</si>
  <si>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</si>
  <si>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</si>
  <si>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</si>
  <si>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</si>
  <si>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</si>
  <si>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</si>
  <si>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</si>
  <si>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</si>
  <si>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</si>
  <si>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</si>
  <si>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</si>
  <si>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</si>
  <si>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</si>
  <si>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</si>
  <si>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</si>
  <si>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</si>
  <si>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</si>
  <si>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</si>
  <si>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</si>
  <si>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</si>
  <si>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</si>
  <si>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</si>
  <si>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</si>
  <si>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</si>
  <si>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</si>
  <si>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</si>
  <si>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</si>
  <si>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</si>
  <si>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</si>
  <si>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</si>
  <si>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</si>
  <si>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</si>
  <si>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</si>
  <si>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</si>
  <si>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</si>
  <si>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</si>
  <si>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</si>
  <si>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</si>
  <si>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</si>
  <si>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</si>
  <si>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</si>
  <si>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</si>
  <si>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</si>
  <si>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</si>
  <si>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</si>
  <si>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</si>
  <si>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</si>
  <si>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</si>
  <si>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</si>
  <si>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</si>
  <si>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</si>
  <si>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</si>
  <si>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</si>
  <si>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</si>
  <si>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</si>
  <si>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</si>
  <si>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</si>
  <si>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</si>
  <si>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</si>
  <si>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</si>
  <si>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</si>
  <si>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</si>
  <si>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</si>
  <si>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</si>
  <si>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</si>
  <si>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</si>
  <si>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</si>
  <si>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</si>
  <si>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</si>
  <si>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</si>
  <si>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</si>
  <si>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</si>
  <si>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</si>
  <si>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</si>
  <si>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</si>
  <si>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</si>
  <si>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</si>
  <si>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</si>
  <si>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</si>
  <si>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</si>
  <si>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</si>
  <si>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</si>
  <si>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</si>
  <si>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</si>
  <si>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</si>
  <si>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</si>
  <si>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</si>
  <si>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</si>
  <si>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</si>
  <si>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</si>
  <si>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</si>
  <si>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</si>
  <si>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</si>
  <si>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</si>
  <si>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11016</t>
  </si>
  <si>
    <t>ESSEN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</si>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</sst>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11016</v>
      </c>
      <c r="B6" s="386"/>
      <c r="C6" s="387"/>
    </row>
    <row r="7" spans="1:7" s="384" customFormat="1" ht="15.75" customHeight="1">
      <c r="A7" s="388" t="str">
        <f>txtMunicipality</f>
        <v>ESSEN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14513.865</v>
      </c>
      <c r="D10" s="676">
        <f ca="1">tertiair!C16</f>
        <v>0</v>
      </c>
      <c r="E10" s="676">
        <f ca="1">tertiair!D16</f>
        <v>13416.380029676695</v>
      </c>
      <c r="F10" s="676">
        <f>tertiair!E16</f>
        <v>128.00532429435134</v>
      </c>
      <c r="G10" s="676">
        <f ca="1">tertiair!F16</f>
        <v>2872.5933813050988</v>
      </c>
      <c r="H10" s="676">
        <f>tertiair!G16</f>
        <v>0</v>
      </c>
      <c r="I10" s="676">
        <f>tertiair!H16</f>
        <v>0</v>
      </c>
      <c r="J10" s="676">
        <f>tertiair!I16</f>
        <v>0</v>
      </c>
      <c r="K10" s="676">
        <f>tertiair!J16</f>
        <v>0</v>
      </c>
      <c r="L10" s="676">
        <f>tertiair!K16</f>
        <v>0</v>
      </c>
      <c r="M10" s="676">
        <f ca="1">tertiair!L16</f>
        <v>0</v>
      </c>
      <c r="N10" s="676">
        <f>tertiair!M16</f>
        <v>0</v>
      </c>
      <c r="O10" s="676">
        <f ca="1">tertiair!N16</f>
        <v>1329.4977509153248</v>
      </c>
      <c r="P10" s="676">
        <f>tertiair!O16</f>
        <v>1.5633333333333335</v>
      </c>
      <c r="Q10" s="677">
        <f>tertiair!P16</f>
        <v>0</v>
      </c>
      <c r="R10" s="679">
        <f ca="1">SUM(C10:Q10)</f>
        <v>32261.9048195248</v>
      </c>
      <c r="S10" s="68"/>
    </row>
    <row r="11" spans="1:19" s="445" customFormat="1">
      <c r="A11" s="791" t="s">
        <v>220</v>
      </c>
      <c r="B11" s="796"/>
      <c r="C11" s="676">
        <f>huishoudens!B8</f>
        <v>39788.109577166615</v>
      </c>
      <c r="D11" s="676">
        <f>huishoudens!C8</f>
        <v>0</v>
      </c>
      <c r="E11" s="676">
        <f>huishoudens!D8</f>
        <v>62975.111228764523</v>
      </c>
      <c r="F11" s="676">
        <f>huishoudens!E8</f>
        <v>2007.7202283923793</v>
      </c>
      <c r="G11" s="676">
        <f>huishoudens!F8</f>
        <v>61209.560757853214</v>
      </c>
      <c r="H11" s="676">
        <f>huishoudens!G8</f>
        <v>0</v>
      </c>
      <c r="I11" s="676">
        <f>huishoudens!H8</f>
        <v>0</v>
      </c>
      <c r="J11" s="676">
        <f>huishoudens!I8</f>
        <v>0</v>
      </c>
      <c r="K11" s="676">
        <f>huishoudens!J8</f>
        <v>1110.6261517348023</v>
      </c>
      <c r="L11" s="676">
        <f>huishoudens!K8</f>
        <v>0</v>
      </c>
      <c r="M11" s="676">
        <f>huishoudens!L8</f>
        <v>0</v>
      </c>
      <c r="N11" s="676">
        <f>huishoudens!M8</f>
        <v>0</v>
      </c>
      <c r="O11" s="676">
        <f>huishoudens!N8</f>
        <v>10626.127944554968</v>
      </c>
      <c r="P11" s="676">
        <f>huishoudens!O8</f>
        <v>67.223333333333329</v>
      </c>
      <c r="Q11" s="677">
        <f>huishoudens!P8</f>
        <v>286</v>
      </c>
      <c r="R11" s="679">
        <f>SUM(C11:Q11)</f>
        <v>178070.47922179982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25736.578000000001</v>
      </c>
      <c r="D13" s="676">
        <f>industrie!C18</f>
        <v>0</v>
      </c>
      <c r="E13" s="676">
        <f>industrie!D18</f>
        <v>3107.7206675218436</v>
      </c>
      <c r="F13" s="676">
        <f>industrie!E18</f>
        <v>217.78654629529993</v>
      </c>
      <c r="G13" s="676">
        <f>industrie!F18</f>
        <v>15788.396351451369</v>
      </c>
      <c r="H13" s="676">
        <f>industrie!G18</f>
        <v>0</v>
      </c>
      <c r="I13" s="676">
        <f>industrie!H18</f>
        <v>0</v>
      </c>
      <c r="J13" s="676">
        <f>industrie!I18</f>
        <v>0</v>
      </c>
      <c r="K13" s="676">
        <f>industrie!J18</f>
        <v>25.885101167523796</v>
      </c>
      <c r="L13" s="676">
        <f>industrie!K18</f>
        <v>0</v>
      </c>
      <c r="M13" s="676">
        <f>industrie!L18</f>
        <v>0</v>
      </c>
      <c r="N13" s="676">
        <f>industrie!M18</f>
        <v>0</v>
      </c>
      <c r="O13" s="676">
        <f>industrie!N18</f>
        <v>2112.2239127216039</v>
      </c>
      <c r="P13" s="676">
        <f>industrie!O18</f>
        <v>0</v>
      </c>
      <c r="Q13" s="677">
        <f>industrie!P18</f>
        <v>0</v>
      </c>
      <c r="R13" s="679">
        <f>SUM(C13:Q13)</f>
        <v>46988.590579157637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80038.552577166614</v>
      </c>
      <c r="D16" s="709">
        <f t="shared" ref="D16:R16" ca="1" si="0">SUM(D9:D15)</f>
        <v>0</v>
      </c>
      <c r="E16" s="709">
        <f t="shared" ca="1" si="0"/>
        <v>79499.211925963071</v>
      </c>
      <c r="F16" s="709">
        <f t="shared" si="0"/>
        <v>2353.5120989820307</v>
      </c>
      <c r="G16" s="709">
        <f t="shared" ca="1" si="0"/>
        <v>79870.55049060969</v>
      </c>
      <c r="H16" s="709">
        <f t="shared" si="0"/>
        <v>0</v>
      </c>
      <c r="I16" s="709">
        <f t="shared" si="0"/>
        <v>0</v>
      </c>
      <c r="J16" s="709">
        <f t="shared" si="0"/>
        <v>0</v>
      </c>
      <c r="K16" s="709">
        <f t="shared" si="0"/>
        <v>1136.5112529023261</v>
      </c>
      <c r="L16" s="709">
        <f t="shared" si="0"/>
        <v>0</v>
      </c>
      <c r="M16" s="709">
        <f t="shared" ca="1" si="0"/>
        <v>0</v>
      </c>
      <c r="N16" s="709">
        <f t="shared" si="0"/>
        <v>0</v>
      </c>
      <c r="O16" s="709">
        <f t="shared" ca="1" si="0"/>
        <v>14067.849608191897</v>
      </c>
      <c r="P16" s="709">
        <f t="shared" si="0"/>
        <v>68.786666666666662</v>
      </c>
      <c r="Q16" s="709">
        <f t="shared" si="0"/>
        <v>286</v>
      </c>
      <c r="R16" s="709">
        <f t="shared" ca="1" si="0"/>
        <v>257320.97462048224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3.0653218747402144</v>
      </c>
      <c r="D19" s="676">
        <f>transport!C54</f>
        <v>0</v>
      </c>
      <c r="E19" s="676">
        <f>transport!D54</f>
        <v>0</v>
      </c>
      <c r="F19" s="676">
        <f>transport!E54</f>
        <v>0</v>
      </c>
      <c r="G19" s="676">
        <f>transport!F54</f>
        <v>0</v>
      </c>
      <c r="H19" s="676">
        <f>transport!G54</f>
        <v>611.38449139932425</v>
      </c>
      <c r="I19" s="676">
        <f>transport!H54</f>
        <v>0</v>
      </c>
      <c r="J19" s="676">
        <f>transport!I54</f>
        <v>0</v>
      </c>
      <c r="K19" s="676">
        <f>transport!J54</f>
        <v>0</v>
      </c>
      <c r="L19" s="676">
        <f>transport!K54</f>
        <v>0</v>
      </c>
      <c r="M19" s="676">
        <f>transport!L54</f>
        <v>0</v>
      </c>
      <c r="N19" s="676">
        <f>transport!M54</f>
        <v>27.022543358814776</v>
      </c>
      <c r="O19" s="676">
        <f>transport!N54</f>
        <v>0</v>
      </c>
      <c r="P19" s="676">
        <f>transport!O54</f>
        <v>0</v>
      </c>
      <c r="Q19" s="677">
        <f>transport!P54</f>
        <v>0</v>
      </c>
      <c r="R19" s="679">
        <f>SUM(C19:Q19)</f>
        <v>641.47235663287927</v>
      </c>
      <c r="S19" s="68"/>
    </row>
    <row r="20" spans="1:19" s="445" customFormat="1">
      <c r="A20" s="791" t="s">
        <v>302</v>
      </c>
      <c r="B20" s="796"/>
      <c r="C20" s="676">
        <f>transport!B14</f>
        <v>2.7087322527792397</v>
      </c>
      <c r="D20" s="676">
        <f>transport!C14</f>
        <v>0</v>
      </c>
      <c r="E20" s="676">
        <f>transport!D14</f>
        <v>4.1133630979732763</v>
      </c>
      <c r="F20" s="676">
        <f>transport!E14</f>
        <v>258.01086670820757</v>
      </c>
      <c r="G20" s="676">
        <f>transport!F14</f>
        <v>0</v>
      </c>
      <c r="H20" s="676">
        <f>transport!G14</f>
        <v>46431.568748980055</v>
      </c>
      <c r="I20" s="676">
        <f>transport!H14</f>
        <v>9738.1486344806945</v>
      </c>
      <c r="J20" s="676">
        <f>transport!I14</f>
        <v>0</v>
      </c>
      <c r="K20" s="676">
        <f>transport!J14</f>
        <v>0</v>
      </c>
      <c r="L20" s="676">
        <f>transport!K14</f>
        <v>0</v>
      </c>
      <c r="M20" s="676">
        <f>transport!L14</f>
        <v>0</v>
      </c>
      <c r="N20" s="676">
        <f>transport!M14</f>
        <v>2512.0649899320701</v>
      </c>
      <c r="O20" s="676">
        <f>transport!N14</f>
        <v>0</v>
      </c>
      <c r="P20" s="676">
        <f>transport!O14</f>
        <v>0</v>
      </c>
      <c r="Q20" s="677">
        <f>transport!P14</f>
        <v>0</v>
      </c>
      <c r="R20" s="679">
        <f>SUM(C20:Q20)</f>
        <v>58946.615335451774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5.7740541275194541</v>
      </c>
      <c r="D22" s="794">
        <f t="shared" ref="D22:R22" si="1">SUM(D18:D21)</f>
        <v>0</v>
      </c>
      <c r="E22" s="794">
        <f t="shared" si="1"/>
        <v>4.1133630979732763</v>
      </c>
      <c r="F22" s="794">
        <f t="shared" si="1"/>
        <v>258.01086670820757</v>
      </c>
      <c r="G22" s="794">
        <f t="shared" si="1"/>
        <v>0</v>
      </c>
      <c r="H22" s="794">
        <f t="shared" si="1"/>
        <v>47042.953240379378</v>
      </c>
      <c r="I22" s="794">
        <f t="shared" si="1"/>
        <v>9738.1486344806945</v>
      </c>
      <c r="J22" s="794">
        <f t="shared" si="1"/>
        <v>0</v>
      </c>
      <c r="K22" s="794">
        <f t="shared" si="1"/>
        <v>0</v>
      </c>
      <c r="L22" s="794">
        <f t="shared" si="1"/>
        <v>0</v>
      </c>
      <c r="M22" s="794">
        <f t="shared" si="1"/>
        <v>0</v>
      </c>
      <c r="N22" s="794">
        <f t="shared" si="1"/>
        <v>2539.0875332908849</v>
      </c>
      <c r="O22" s="794">
        <f t="shared" si="1"/>
        <v>0</v>
      </c>
      <c r="P22" s="794">
        <f t="shared" si="1"/>
        <v>0</v>
      </c>
      <c r="Q22" s="794">
        <f t="shared" si="1"/>
        <v>0</v>
      </c>
      <c r="R22" s="794">
        <f t="shared" si="1"/>
        <v>59588.087692084649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2953.9029999999998</v>
      </c>
      <c r="D24" s="676">
        <f>+landbouw!C8</f>
        <v>0</v>
      </c>
      <c r="E24" s="676">
        <f>+landbouw!D8</f>
        <v>174.91369464095754</v>
      </c>
      <c r="F24" s="676">
        <f>+landbouw!E8</f>
        <v>27.827745439933231</v>
      </c>
      <c r="G24" s="676">
        <f>+landbouw!F8</f>
        <v>9639.5658033112995</v>
      </c>
      <c r="H24" s="676">
        <f>+landbouw!G8</f>
        <v>0</v>
      </c>
      <c r="I24" s="676">
        <f>+landbouw!H8</f>
        <v>0</v>
      </c>
      <c r="J24" s="676">
        <f>+landbouw!I8</f>
        <v>0</v>
      </c>
      <c r="K24" s="676">
        <f>+landbouw!J8</f>
        <v>365.41216888143208</v>
      </c>
      <c r="L24" s="676">
        <f>+landbouw!K8</f>
        <v>0</v>
      </c>
      <c r="M24" s="676">
        <f>+landbouw!L8</f>
        <v>0</v>
      </c>
      <c r="N24" s="676">
        <f>+landbouw!M8</f>
        <v>0</v>
      </c>
      <c r="O24" s="676">
        <f>+landbouw!N8</f>
        <v>0</v>
      </c>
      <c r="P24" s="676">
        <f>+landbouw!O8</f>
        <v>0</v>
      </c>
      <c r="Q24" s="677">
        <f>+landbouw!P8</f>
        <v>0</v>
      </c>
      <c r="R24" s="679">
        <f>SUM(C24:Q24)</f>
        <v>13161.622412273622</v>
      </c>
      <c r="S24" s="68"/>
    </row>
    <row r="25" spans="1:19" s="445" customFormat="1" ht="15" thickBot="1">
      <c r="A25" s="813" t="s">
        <v>879</v>
      </c>
      <c r="B25" s="979"/>
      <c r="C25" s="980">
        <f>IF(Onbekend_ele_kWh="---",0,Onbekend_ele_kWh)/1000+IF(REST_rest_ele_kWh="---",0,REST_rest_ele_kWh)/1000</f>
        <v>605.67499999999995</v>
      </c>
      <c r="D25" s="980"/>
      <c r="E25" s="980">
        <f>IF(onbekend_gas_kWh="---",0,onbekend_gas_kWh)/1000+IF(REST_rest_gas_kWh="---",0,REST_rest_gas_kWh)/1000</f>
        <v>2542.4133111474698</v>
      </c>
      <c r="F25" s="980"/>
      <c r="G25" s="980"/>
      <c r="H25" s="980"/>
      <c r="I25" s="980"/>
      <c r="J25" s="980"/>
      <c r="K25" s="980"/>
      <c r="L25" s="980"/>
      <c r="M25" s="980"/>
      <c r="N25" s="980"/>
      <c r="O25" s="980"/>
      <c r="P25" s="980"/>
      <c r="Q25" s="981"/>
      <c r="R25" s="679">
        <f>SUM(C25:Q25)</f>
        <v>3148.0883111474695</v>
      </c>
      <c r="S25" s="68"/>
    </row>
    <row r="26" spans="1:19" s="445" customFormat="1" ht="15.75" thickBot="1">
      <c r="A26" s="682" t="s">
        <v>880</v>
      </c>
      <c r="B26" s="799"/>
      <c r="C26" s="794">
        <f>SUM(C24:C25)</f>
        <v>3559.5779999999995</v>
      </c>
      <c r="D26" s="794">
        <f t="shared" ref="D26:R26" si="2">SUM(D24:D25)</f>
        <v>0</v>
      </c>
      <c r="E26" s="794">
        <f t="shared" si="2"/>
        <v>2717.3270057884274</v>
      </c>
      <c r="F26" s="794">
        <f t="shared" si="2"/>
        <v>27.827745439933231</v>
      </c>
      <c r="G26" s="794">
        <f t="shared" si="2"/>
        <v>9639.5658033112995</v>
      </c>
      <c r="H26" s="794">
        <f t="shared" si="2"/>
        <v>0</v>
      </c>
      <c r="I26" s="794">
        <f t="shared" si="2"/>
        <v>0</v>
      </c>
      <c r="J26" s="794">
        <f t="shared" si="2"/>
        <v>0</v>
      </c>
      <c r="K26" s="794">
        <f t="shared" si="2"/>
        <v>365.41216888143208</v>
      </c>
      <c r="L26" s="794">
        <f t="shared" si="2"/>
        <v>0</v>
      </c>
      <c r="M26" s="794">
        <f t="shared" si="2"/>
        <v>0</v>
      </c>
      <c r="N26" s="794">
        <f t="shared" si="2"/>
        <v>0</v>
      </c>
      <c r="O26" s="794">
        <f t="shared" si="2"/>
        <v>0</v>
      </c>
      <c r="P26" s="794">
        <f t="shared" si="2"/>
        <v>0</v>
      </c>
      <c r="Q26" s="794">
        <f t="shared" si="2"/>
        <v>0</v>
      </c>
      <c r="R26" s="794">
        <f t="shared" si="2"/>
        <v>16309.710723421093</v>
      </c>
      <c r="S26" s="68"/>
    </row>
    <row r="27" spans="1:19" s="445" customFormat="1" ht="17.25" thickTop="1" thickBot="1">
      <c r="A27" s="683" t="s">
        <v>115</v>
      </c>
      <c r="B27" s="786"/>
      <c r="C27" s="684">
        <f ca="1">C22+C16+C26</f>
        <v>83603.904631294121</v>
      </c>
      <c r="D27" s="684">
        <f t="shared" ref="D27:R27" ca="1" si="3">D22+D16+D26</f>
        <v>0</v>
      </c>
      <c r="E27" s="684">
        <f t="shared" ca="1" si="3"/>
        <v>82220.652294849468</v>
      </c>
      <c r="F27" s="684">
        <f t="shared" si="3"/>
        <v>2639.3507111301715</v>
      </c>
      <c r="G27" s="684">
        <f t="shared" ca="1" si="3"/>
        <v>89510.11629392099</v>
      </c>
      <c r="H27" s="684">
        <f t="shared" si="3"/>
        <v>47042.953240379378</v>
      </c>
      <c r="I27" s="684">
        <f t="shared" si="3"/>
        <v>9738.1486344806945</v>
      </c>
      <c r="J27" s="684">
        <f t="shared" si="3"/>
        <v>0</v>
      </c>
      <c r="K27" s="684">
        <f t="shared" si="3"/>
        <v>1501.9234217837582</v>
      </c>
      <c r="L27" s="684">
        <f t="shared" si="3"/>
        <v>0</v>
      </c>
      <c r="M27" s="684">
        <f t="shared" ca="1" si="3"/>
        <v>0</v>
      </c>
      <c r="N27" s="684">
        <f t="shared" si="3"/>
        <v>2539.0875332908849</v>
      </c>
      <c r="O27" s="684">
        <f t="shared" ca="1" si="3"/>
        <v>14067.849608191897</v>
      </c>
      <c r="P27" s="684">
        <f t="shared" si="3"/>
        <v>68.786666666666662</v>
      </c>
      <c r="Q27" s="684">
        <f t="shared" si="3"/>
        <v>286</v>
      </c>
      <c r="R27" s="684">
        <f t="shared" ca="1" si="3"/>
        <v>333218.77303598798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2905.392542402933</v>
      </c>
      <c r="D40" s="676">
        <f ca="1">tertiair!C20</f>
        <v>0</v>
      </c>
      <c r="E40" s="676">
        <f ca="1">tertiair!D20</f>
        <v>2710.1087659946925</v>
      </c>
      <c r="F40" s="676">
        <f>tertiair!E20</f>
        <v>29.057208614817753</v>
      </c>
      <c r="G40" s="676">
        <f ca="1">tertiair!F20</f>
        <v>766.98243280846145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6411.5409498209046</v>
      </c>
    </row>
    <row r="41" spans="1:18">
      <c r="A41" s="804" t="s">
        <v>220</v>
      </c>
      <c r="B41" s="811"/>
      <c r="C41" s="676">
        <f ca="1">huishoudens!B12</f>
        <v>7964.8030928915623</v>
      </c>
      <c r="D41" s="676">
        <f ca="1">huishoudens!C12</f>
        <v>0</v>
      </c>
      <c r="E41" s="676">
        <f>huishoudens!D12</f>
        <v>12720.972468210435</v>
      </c>
      <c r="F41" s="676">
        <f>huishoudens!E12</f>
        <v>455.7524918450701</v>
      </c>
      <c r="G41" s="676">
        <f>huishoudens!F12</f>
        <v>16342.952722346809</v>
      </c>
      <c r="H41" s="676">
        <f>huishoudens!G12</f>
        <v>0</v>
      </c>
      <c r="I41" s="676">
        <f>huishoudens!H12</f>
        <v>0</v>
      </c>
      <c r="J41" s="676">
        <f>huishoudens!I12</f>
        <v>0</v>
      </c>
      <c r="K41" s="676">
        <f>huishoudens!J12</f>
        <v>393.16165771412</v>
      </c>
      <c r="L41" s="676">
        <f>huishoudens!K12</f>
        <v>0</v>
      </c>
      <c r="M41" s="676">
        <f>huishoudens!L12</f>
        <v>0</v>
      </c>
      <c r="N41" s="676">
        <f>huishoudens!M12</f>
        <v>0</v>
      </c>
      <c r="O41" s="676">
        <f>huishoudens!N12</f>
        <v>0</v>
      </c>
      <c r="P41" s="676">
        <f>huishoudens!O12</f>
        <v>0</v>
      </c>
      <c r="Q41" s="751">
        <f>huishoudens!P12</f>
        <v>0</v>
      </c>
      <c r="R41" s="832">
        <f t="shared" ca="1" si="4"/>
        <v>37877.64243300799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5151.9606795413483</v>
      </c>
      <c r="D43" s="676">
        <f ca="1">industrie!C22</f>
        <v>0</v>
      </c>
      <c r="E43" s="676">
        <f>industrie!D22</f>
        <v>627.75957483941249</v>
      </c>
      <c r="F43" s="676">
        <f>industrie!E22</f>
        <v>49.437546009033085</v>
      </c>
      <c r="G43" s="676">
        <f>industrie!F22</f>
        <v>4215.5018258375158</v>
      </c>
      <c r="H43" s="676">
        <f>industrie!G22</f>
        <v>0</v>
      </c>
      <c r="I43" s="676">
        <f>industrie!H22</f>
        <v>0</v>
      </c>
      <c r="J43" s="676">
        <f>industrie!I22</f>
        <v>0</v>
      </c>
      <c r="K43" s="676">
        <f>industrie!J22</f>
        <v>9.1633258133034232</v>
      </c>
      <c r="L43" s="676">
        <f>industrie!K22</f>
        <v>0</v>
      </c>
      <c r="M43" s="676">
        <f>industrie!L22</f>
        <v>0</v>
      </c>
      <c r="N43" s="676">
        <f>industrie!M22</f>
        <v>0</v>
      </c>
      <c r="O43" s="676">
        <f>industrie!N22</f>
        <v>0</v>
      </c>
      <c r="P43" s="676">
        <f>industrie!O22</f>
        <v>0</v>
      </c>
      <c r="Q43" s="751">
        <f>industrie!P22</f>
        <v>0</v>
      </c>
      <c r="R43" s="831">
        <f t="shared" ca="1" si="4"/>
        <v>10053.822952040613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16022.156314835844</v>
      </c>
      <c r="D46" s="709">
        <f t="shared" ref="D46:Q46" ca="1" si="5">SUM(D39:D45)</f>
        <v>0</v>
      </c>
      <c r="E46" s="709">
        <f t="shared" ca="1" si="5"/>
        <v>16058.840809044541</v>
      </c>
      <c r="F46" s="709">
        <f t="shared" si="5"/>
        <v>534.24724646892093</v>
      </c>
      <c r="G46" s="709">
        <f t="shared" ca="1" si="5"/>
        <v>21325.436980992785</v>
      </c>
      <c r="H46" s="709">
        <f t="shared" si="5"/>
        <v>0</v>
      </c>
      <c r="I46" s="709">
        <f t="shared" si="5"/>
        <v>0</v>
      </c>
      <c r="J46" s="709">
        <f t="shared" si="5"/>
        <v>0</v>
      </c>
      <c r="K46" s="709">
        <f t="shared" si="5"/>
        <v>402.3249835274234</v>
      </c>
      <c r="L46" s="709">
        <f t="shared" si="5"/>
        <v>0</v>
      </c>
      <c r="M46" s="709">
        <f t="shared" ca="1" si="5"/>
        <v>0</v>
      </c>
      <c r="N46" s="709">
        <f t="shared" si="5"/>
        <v>0</v>
      </c>
      <c r="O46" s="709">
        <f t="shared" ca="1" si="5"/>
        <v>0</v>
      </c>
      <c r="P46" s="709">
        <f t="shared" si="5"/>
        <v>0</v>
      </c>
      <c r="Q46" s="709">
        <f t="shared" si="5"/>
        <v>0</v>
      </c>
      <c r="R46" s="709">
        <f ca="1">SUM(R39:R45)</f>
        <v>54343.006334869511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0.61361762114604179</v>
      </c>
      <c r="D49" s="676">
        <f ca="1">transport!C58</f>
        <v>0</v>
      </c>
      <c r="E49" s="676">
        <f>transport!D58</f>
        <v>0</v>
      </c>
      <c r="F49" s="676">
        <f>transport!E58</f>
        <v>0</v>
      </c>
      <c r="G49" s="676">
        <f>transport!F58</f>
        <v>0</v>
      </c>
      <c r="H49" s="676">
        <f>transport!G58</f>
        <v>163.2396592036196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163.85327682476563</v>
      </c>
    </row>
    <row r="50" spans="1:18">
      <c r="A50" s="807" t="s">
        <v>302</v>
      </c>
      <c r="B50" s="817"/>
      <c r="C50" s="986">
        <f ca="1">transport!B18</f>
        <v>0.54223533749219099</v>
      </c>
      <c r="D50" s="986">
        <f>transport!C18</f>
        <v>0</v>
      </c>
      <c r="E50" s="986">
        <f>transport!D18</f>
        <v>0.83089934579060187</v>
      </c>
      <c r="F50" s="986">
        <f>transport!E18</f>
        <v>58.568466742763121</v>
      </c>
      <c r="G50" s="986">
        <f>transport!F18</f>
        <v>0</v>
      </c>
      <c r="H50" s="986">
        <f>transport!G18</f>
        <v>12397.228855977675</v>
      </c>
      <c r="I50" s="986">
        <f>transport!H18</f>
        <v>2424.7990099856929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14881.969467389414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1.1558529586382327</v>
      </c>
      <c r="D52" s="709">
        <f t="shared" ref="D52:Q52" ca="1" si="6">SUM(D48:D51)</f>
        <v>0</v>
      </c>
      <c r="E52" s="709">
        <f t="shared" si="6"/>
        <v>0.83089934579060187</v>
      </c>
      <c r="F52" s="709">
        <f t="shared" si="6"/>
        <v>58.568466742763121</v>
      </c>
      <c r="G52" s="709">
        <f t="shared" si="6"/>
        <v>0</v>
      </c>
      <c r="H52" s="709">
        <f t="shared" si="6"/>
        <v>12560.468515181296</v>
      </c>
      <c r="I52" s="709">
        <f t="shared" si="6"/>
        <v>2424.7990099856929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15045.82274421418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591.31373670498181</v>
      </c>
      <c r="D54" s="986">
        <f ca="1">+landbouw!C12</f>
        <v>0</v>
      </c>
      <c r="E54" s="986">
        <f>+landbouw!D12</f>
        <v>35.332566317473429</v>
      </c>
      <c r="F54" s="986">
        <f>+landbouw!E12</f>
        <v>6.3168982148648434</v>
      </c>
      <c r="G54" s="986">
        <f>+landbouw!F12</f>
        <v>2573.764069484117</v>
      </c>
      <c r="H54" s="986">
        <f>+landbouw!G12</f>
        <v>0</v>
      </c>
      <c r="I54" s="986">
        <f>+landbouw!H12</f>
        <v>0</v>
      </c>
      <c r="J54" s="986">
        <f>+landbouw!I12</f>
        <v>0</v>
      </c>
      <c r="K54" s="986">
        <f>+landbouw!J12</f>
        <v>129.35590778402695</v>
      </c>
      <c r="L54" s="986">
        <f>+landbouw!K12</f>
        <v>0</v>
      </c>
      <c r="M54" s="986">
        <f>+landbouw!L12</f>
        <v>0</v>
      </c>
      <c r="N54" s="986">
        <f>+landbouw!M12</f>
        <v>0</v>
      </c>
      <c r="O54" s="986">
        <f>+landbouw!N12</f>
        <v>0</v>
      </c>
      <c r="P54" s="986">
        <f>+landbouw!O12</f>
        <v>0</v>
      </c>
      <c r="Q54" s="987">
        <f>+landbouw!P12</f>
        <v>0</v>
      </c>
      <c r="R54" s="708">
        <f ca="1">SUM(C54:Q54)</f>
        <v>3336.0831785054638</v>
      </c>
    </row>
    <row r="55" spans="1:18" ht="15" thickBot="1">
      <c r="A55" s="807" t="s">
        <v>879</v>
      </c>
      <c r="B55" s="817"/>
      <c r="C55" s="986">
        <f ca="1">C25*'EF ele_warmte'!B12</f>
        <v>121.24431556445484</v>
      </c>
      <c r="D55" s="986"/>
      <c r="E55" s="986">
        <f>E25*EF_CO2_aardgas</f>
        <v>513.56748885178888</v>
      </c>
      <c r="F55" s="986"/>
      <c r="G55" s="986"/>
      <c r="H55" s="986"/>
      <c r="I55" s="986"/>
      <c r="J55" s="986"/>
      <c r="K55" s="986"/>
      <c r="L55" s="986"/>
      <c r="M55" s="986"/>
      <c r="N55" s="986"/>
      <c r="O55" s="986"/>
      <c r="P55" s="986"/>
      <c r="Q55" s="987"/>
      <c r="R55" s="708">
        <f ca="1">SUM(C55:Q55)</f>
        <v>634.81180441624372</v>
      </c>
    </row>
    <row r="56" spans="1:18" ht="15.75" thickBot="1">
      <c r="A56" s="805" t="s">
        <v>880</v>
      </c>
      <c r="B56" s="818"/>
      <c r="C56" s="709">
        <f ca="1">SUM(C54:C55)</f>
        <v>712.55805226943664</v>
      </c>
      <c r="D56" s="709">
        <f t="shared" ref="D56:Q56" ca="1" si="7">SUM(D54:D55)</f>
        <v>0</v>
      </c>
      <c r="E56" s="709">
        <f t="shared" si="7"/>
        <v>548.90005516926226</v>
      </c>
      <c r="F56" s="709">
        <f t="shared" si="7"/>
        <v>6.3168982148648434</v>
      </c>
      <c r="G56" s="709">
        <f t="shared" si="7"/>
        <v>2573.764069484117</v>
      </c>
      <c r="H56" s="709">
        <f t="shared" si="7"/>
        <v>0</v>
      </c>
      <c r="I56" s="709">
        <f t="shared" si="7"/>
        <v>0</v>
      </c>
      <c r="J56" s="709">
        <f t="shared" si="7"/>
        <v>0</v>
      </c>
      <c r="K56" s="709">
        <f t="shared" si="7"/>
        <v>129.35590778402695</v>
      </c>
      <c r="L56" s="709">
        <f t="shared" si="7"/>
        <v>0</v>
      </c>
      <c r="M56" s="709">
        <f t="shared" si="7"/>
        <v>0</v>
      </c>
      <c r="N56" s="709">
        <f t="shared" si="7"/>
        <v>0</v>
      </c>
      <c r="O56" s="709">
        <f t="shared" si="7"/>
        <v>0</v>
      </c>
      <c r="P56" s="709">
        <f t="shared" si="7"/>
        <v>0</v>
      </c>
      <c r="Q56" s="710">
        <f t="shared" si="7"/>
        <v>0</v>
      </c>
      <c r="R56" s="711">
        <f ca="1">SUM(R54:R55)</f>
        <v>3970.8949829217077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16735.87022006392</v>
      </c>
      <c r="D61" s="717">
        <f t="shared" ref="D61:Q61" ca="1" si="8">D46+D52+D56</f>
        <v>0</v>
      </c>
      <c r="E61" s="717">
        <f t="shared" ca="1" si="8"/>
        <v>16608.571763559594</v>
      </c>
      <c r="F61" s="717">
        <f t="shared" si="8"/>
        <v>599.13261142654892</v>
      </c>
      <c r="G61" s="717">
        <f t="shared" ca="1" si="8"/>
        <v>23899.201050476902</v>
      </c>
      <c r="H61" s="717">
        <f t="shared" si="8"/>
        <v>12560.468515181296</v>
      </c>
      <c r="I61" s="717">
        <f t="shared" si="8"/>
        <v>2424.7990099856929</v>
      </c>
      <c r="J61" s="717">
        <f t="shared" si="8"/>
        <v>0</v>
      </c>
      <c r="K61" s="717">
        <f t="shared" si="8"/>
        <v>531.6808913114503</v>
      </c>
      <c r="L61" s="717">
        <f t="shared" si="8"/>
        <v>0</v>
      </c>
      <c r="M61" s="717">
        <f t="shared" ca="1" si="8"/>
        <v>0</v>
      </c>
      <c r="N61" s="717">
        <f t="shared" si="8"/>
        <v>0</v>
      </c>
      <c r="O61" s="717">
        <f t="shared" ca="1" si="8"/>
        <v>0</v>
      </c>
      <c r="P61" s="717">
        <f t="shared" si="8"/>
        <v>0</v>
      </c>
      <c r="Q61" s="717">
        <f t="shared" si="8"/>
        <v>0</v>
      </c>
      <c r="R61" s="717">
        <f ca="1">R46+R52+R56</f>
        <v>73359.724062005393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0.20018048551525963</v>
      </c>
      <c r="D63" s="761">
        <f t="shared" ca="1" si="9"/>
        <v>0</v>
      </c>
      <c r="E63" s="988">
        <f t="shared" ca="1" si="9"/>
        <v>0.20200000000000001</v>
      </c>
      <c r="F63" s="761">
        <f t="shared" si="9"/>
        <v>0.22700000000000001</v>
      </c>
      <c r="G63" s="761">
        <f t="shared" ca="1" si="9"/>
        <v>0.26699999999999996</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3393.7085912764041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4482.2764922171918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7875.985083493596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39788.109577166615</v>
      </c>
      <c r="C4" s="449">
        <f>huishoudens!C8</f>
        <v>0</v>
      </c>
      <c r="D4" s="449">
        <f>huishoudens!D8</f>
        <v>62975.111228764523</v>
      </c>
      <c r="E4" s="449">
        <f>huishoudens!E8</f>
        <v>2007.7202283923793</v>
      </c>
      <c r="F4" s="449">
        <f>huishoudens!F8</f>
        <v>61209.560757853214</v>
      </c>
      <c r="G4" s="449">
        <f>huishoudens!G8</f>
        <v>0</v>
      </c>
      <c r="H4" s="449">
        <f>huishoudens!H8</f>
        <v>0</v>
      </c>
      <c r="I4" s="449">
        <f>huishoudens!I8</f>
        <v>0</v>
      </c>
      <c r="J4" s="449">
        <f>huishoudens!J8</f>
        <v>1110.6261517348023</v>
      </c>
      <c r="K4" s="449">
        <f>huishoudens!K8</f>
        <v>0</v>
      </c>
      <c r="L4" s="449">
        <f>huishoudens!L8</f>
        <v>0</v>
      </c>
      <c r="M4" s="449">
        <f>huishoudens!M8</f>
        <v>0</v>
      </c>
      <c r="N4" s="449">
        <f>huishoudens!N8</f>
        <v>10626.127944554968</v>
      </c>
      <c r="O4" s="449">
        <f>huishoudens!O8</f>
        <v>67.223333333333329</v>
      </c>
      <c r="P4" s="450">
        <f>huishoudens!P8</f>
        <v>286</v>
      </c>
      <c r="Q4" s="451">
        <f>SUM(B4:P4)</f>
        <v>178070.47922179982</v>
      </c>
    </row>
    <row r="5" spans="1:17">
      <c r="A5" s="448" t="s">
        <v>155</v>
      </c>
      <c r="B5" s="449">
        <f ca="1">tertiair!B16</f>
        <v>13126.724</v>
      </c>
      <c r="C5" s="449">
        <f ca="1">tertiair!C16</f>
        <v>0</v>
      </c>
      <c r="D5" s="449">
        <f ca="1">tertiair!D16</f>
        <v>13416.380029676695</v>
      </c>
      <c r="E5" s="449">
        <f>tertiair!E16</f>
        <v>128.00532429435134</v>
      </c>
      <c r="F5" s="449">
        <f ca="1">tertiair!F16</f>
        <v>2872.5933813050988</v>
      </c>
      <c r="G5" s="449">
        <f>tertiair!G16</f>
        <v>0</v>
      </c>
      <c r="H5" s="449">
        <f>tertiair!H16</f>
        <v>0</v>
      </c>
      <c r="I5" s="449">
        <f>tertiair!I16</f>
        <v>0</v>
      </c>
      <c r="J5" s="449">
        <f>tertiair!J16</f>
        <v>0</v>
      </c>
      <c r="K5" s="449">
        <f>tertiair!K16</f>
        <v>0</v>
      </c>
      <c r="L5" s="449">
        <f ca="1">tertiair!L16</f>
        <v>0</v>
      </c>
      <c r="M5" s="449">
        <f>tertiair!M16</f>
        <v>0</v>
      </c>
      <c r="N5" s="449">
        <f ca="1">tertiair!N16</f>
        <v>1329.4977509153248</v>
      </c>
      <c r="O5" s="449">
        <f>tertiair!O16</f>
        <v>1.5633333333333335</v>
      </c>
      <c r="P5" s="450">
        <f>tertiair!P16</f>
        <v>0</v>
      </c>
      <c r="Q5" s="448">
        <f t="shared" ref="Q5:Q14" ca="1" si="0">SUM(B5:P5)</f>
        <v>30874.7638195248</v>
      </c>
    </row>
    <row r="6" spans="1:17">
      <c r="A6" s="448" t="s">
        <v>193</v>
      </c>
      <c r="B6" s="449">
        <f>'openbare verlichting'!B8</f>
        <v>1387.1410000000001</v>
      </c>
      <c r="C6" s="449"/>
      <c r="D6" s="449"/>
      <c r="E6" s="449"/>
      <c r="F6" s="449"/>
      <c r="G6" s="449"/>
      <c r="H6" s="449"/>
      <c r="I6" s="449"/>
      <c r="J6" s="449"/>
      <c r="K6" s="449"/>
      <c r="L6" s="449"/>
      <c r="M6" s="449"/>
      <c r="N6" s="449"/>
      <c r="O6" s="449"/>
      <c r="P6" s="450"/>
      <c r="Q6" s="448">
        <f t="shared" si="0"/>
        <v>1387.1410000000001</v>
      </c>
    </row>
    <row r="7" spans="1:17">
      <c r="A7" s="448" t="s">
        <v>111</v>
      </c>
      <c r="B7" s="449">
        <f>landbouw!B8</f>
        <v>2953.9029999999998</v>
      </c>
      <c r="C7" s="449">
        <f>landbouw!C8</f>
        <v>0</v>
      </c>
      <c r="D7" s="449">
        <f>landbouw!D8</f>
        <v>174.91369464095754</v>
      </c>
      <c r="E7" s="449">
        <f>landbouw!E8</f>
        <v>27.827745439933231</v>
      </c>
      <c r="F7" s="449">
        <f>landbouw!F8</f>
        <v>9639.5658033112995</v>
      </c>
      <c r="G7" s="449">
        <f>landbouw!G8</f>
        <v>0</v>
      </c>
      <c r="H7" s="449">
        <f>landbouw!H8</f>
        <v>0</v>
      </c>
      <c r="I7" s="449">
        <f>landbouw!I8</f>
        <v>0</v>
      </c>
      <c r="J7" s="449">
        <f>landbouw!J8</f>
        <v>365.41216888143208</v>
      </c>
      <c r="K7" s="449">
        <f>landbouw!K8</f>
        <v>0</v>
      </c>
      <c r="L7" s="449">
        <f>landbouw!L8</f>
        <v>0</v>
      </c>
      <c r="M7" s="449">
        <f>landbouw!M8</f>
        <v>0</v>
      </c>
      <c r="N7" s="449">
        <f>landbouw!N8</f>
        <v>0</v>
      </c>
      <c r="O7" s="449">
        <f>landbouw!O8</f>
        <v>0</v>
      </c>
      <c r="P7" s="450">
        <f>landbouw!P8</f>
        <v>0</v>
      </c>
      <c r="Q7" s="448">
        <f t="shared" si="0"/>
        <v>13161.622412273622</v>
      </c>
    </row>
    <row r="8" spans="1:17">
      <c r="A8" s="448" t="s">
        <v>671</v>
      </c>
      <c r="B8" s="449">
        <f>industrie!B18</f>
        <v>25736.578000000001</v>
      </c>
      <c r="C8" s="449">
        <f>industrie!C18</f>
        <v>0</v>
      </c>
      <c r="D8" s="449">
        <f>industrie!D18</f>
        <v>3107.7206675218436</v>
      </c>
      <c r="E8" s="449">
        <f>industrie!E18</f>
        <v>217.78654629529993</v>
      </c>
      <c r="F8" s="449">
        <f>industrie!F18</f>
        <v>15788.396351451369</v>
      </c>
      <c r="G8" s="449">
        <f>industrie!G18</f>
        <v>0</v>
      </c>
      <c r="H8" s="449">
        <f>industrie!H18</f>
        <v>0</v>
      </c>
      <c r="I8" s="449">
        <f>industrie!I18</f>
        <v>0</v>
      </c>
      <c r="J8" s="449">
        <f>industrie!J18</f>
        <v>25.885101167523796</v>
      </c>
      <c r="K8" s="449">
        <f>industrie!K18</f>
        <v>0</v>
      </c>
      <c r="L8" s="449">
        <f>industrie!L18</f>
        <v>0</v>
      </c>
      <c r="M8" s="449">
        <f>industrie!M18</f>
        <v>0</v>
      </c>
      <c r="N8" s="449">
        <f>industrie!N18</f>
        <v>2112.2239127216039</v>
      </c>
      <c r="O8" s="449">
        <f>industrie!O18</f>
        <v>0</v>
      </c>
      <c r="P8" s="450">
        <f>industrie!P18</f>
        <v>0</v>
      </c>
      <c r="Q8" s="448">
        <f t="shared" si="0"/>
        <v>46988.590579157637</v>
      </c>
    </row>
    <row r="9" spans="1:17" s="454" customFormat="1">
      <c r="A9" s="452" t="s">
        <v>568</v>
      </c>
      <c r="B9" s="453">
        <f>transport!B14</f>
        <v>2.7087322527792397</v>
      </c>
      <c r="C9" s="453">
        <f>transport!C14</f>
        <v>0</v>
      </c>
      <c r="D9" s="453">
        <f>transport!D14</f>
        <v>4.1133630979732763</v>
      </c>
      <c r="E9" s="453">
        <f>transport!E14</f>
        <v>258.01086670820757</v>
      </c>
      <c r="F9" s="453">
        <f>transport!F14</f>
        <v>0</v>
      </c>
      <c r="G9" s="453">
        <f>transport!G14</f>
        <v>46431.568748980055</v>
      </c>
      <c r="H9" s="453">
        <f>transport!H14</f>
        <v>9738.1486344806945</v>
      </c>
      <c r="I9" s="453">
        <f>transport!I14</f>
        <v>0</v>
      </c>
      <c r="J9" s="453">
        <f>transport!J14</f>
        <v>0</v>
      </c>
      <c r="K9" s="453">
        <f>transport!K14</f>
        <v>0</v>
      </c>
      <c r="L9" s="453">
        <f>transport!L14</f>
        <v>0</v>
      </c>
      <c r="M9" s="453">
        <f>transport!M14</f>
        <v>2512.0649899320701</v>
      </c>
      <c r="N9" s="453">
        <f>transport!N14</f>
        <v>0</v>
      </c>
      <c r="O9" s="453">
        <f>transport!O14</f>
        <v>0</v>
      </c>
      <c r="P9" s="453">
        <f>transport!P14</f>
        <v>0</v>
      </c>
      <c r="Q9" s="452">
        <f>SUM(B9:P9)</f>
        <v>58946.615335451774</v>
      </c>
    </row>
    <row r="10" spans="1:17">
      <c r="A10" s="448" t="s">
        <v>558</v>
      </c>
      <c r="B10" s="449">
        <f>transport!B54</f>
        <v>3.0653218747402144</v>
      </c>
      <c r="C10" s="449">
        <f>transport!C54</f>
        <v>0</v>
      </c>
      <c r="D10" s="449">
        <f>transport!D54</f>
        <v>0</v>
      </c>
      <c r="E10" s="449">
        <f>transport!E54</f>
        <v>0</v>
      </c>
      <c r="F10" s="449">
        <f>transport!F54</f>
        <v>0</v>
      </c>
      <c r="G10" s="449">
        <f>transport!G54</f>
        <v>611.38449139932425</v>
      </c>
      <c r="H10" s="449">
        <f>transport!H54</f>
        <v>0</v>
      </c>
      <c r="I10" s="449">
        <f>transport!I54</f>
        <v>0</v>
      </c>
      <c r="J10" s="449">
        <f>transport!J54</f>
        <v>0</v>
      </c>
      <c r="K10" s="449">
        <f>transport!K54</f>
        <v>0</v>
      </c>
      <c r="L10" s="449">
        <f>transport!L54</f>
        <v>0</v>
      </c>
      <c r="M10" s="449">
        <f>transport!M54</f>
        <v>27.022543358814776</v>
      </c>
      <c r="N10" s="449">
        <f>transport!N54</f>
        <v>0</v>
      </c>
      <c r="O10" s="449">
        <f>transport!O54</f>
        <v>0</v>
      </c>
      <c r="P10" s="450">
        <f>transport!P54</f>
        <v>0</v>
      </c>
      <c r="Q10" s="448">
        <f t="shared" si="0"/>
        <v>641.47235663287927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605.67499999999995</v>
      </c>
      <c r="C14" s="456"/>
      <c r="D14" s="456">
        <f>'SEAP template'!E25</f>
        <v>2542.4133111474698</v>
      </c>
      <c r="E14" s="456"/>
      <c r="F14" s="456"/>
      <c r="G14" s="456"/>
      <c r="H14" s="456"/>
      <c r="I14" s="456"/>
      <c r="J14" s="456"/>
      <c r="K14" s="456"/>
      <c r="L14" s="456"/>
      <c r="M14" s="456"/>
      <c r="N14" s="456"/>
      <c r="O14" s="456"/>
      <c r="P14" s="457"/>
      <c r="Q14" s="448">
        <f t="shared" si="0"/>
        <v>3148.0883111474695</v>
      </c>
    </row>
    <row r="15" spans="1:17" s="461" customFormat="1">
      <c r="A15" s="458" t="s">
        <v>562</v>
      </c>
      <c r="B15" s="459">
        <f ca="1">SUM(B4:B14)</f>
        <v>83603.90463129415</v>
      </c>
      <c r="C15" s="459">
        <f t="shared" ref="C15:Q15" ca="1" si="1">SUM(C4:C14)</f>
        <v>0</v>
      </c>
      <c r="D15" s="459">
        <f t="shared" ca="1" si="1"/>
        <v>82220.652294849468</v>
      </c>
      <c r="E15" s="459">
        <f t="shared" si="1"/>
        <v>2639.3507111301715</v>
      </c>
      <c r="F15" s="459">
        <f t="shared" ca="1" si="1"/>
        <v>89510.11629392099</v>
      </c>
      <c r="G15" s="459">
        <f t="shared" si="1"/>
        <v>47042.953240379378</v>
      </c>
      <c r="H15" s="459">
        <f t="shared" si="1"/>
        <v>9738.1486344806945</v>
      </c>
      <c r="I15" s="459">
        <f t="shared" si="1"/>
        <v>0</v>
      </c>
      <c r="J15" s="459">
        <f t="shared" si="1"/>
        <v>1501.9234217837582</v>
      </c>
      <c r="K15" s="459">
        <f t="shared" si="1"/>
        <v>0</v>
      </c>
      <c r="L15" s="459">
        <f t="shared" ca="1" si="1"/>
        <v>0</v>
      </c>
      <c r="M15" s="459">
        <f t="shared" si="1"/>
        <v>2539.0875332908849</v>
      </c>
      <c r="N15" s="459">
        <f t="shared" ca="1" si="1"/>
        <v>14067.849608191897</v>
      </c>
      <c r="O15" s="459">
        <f t="shared" si="1"/>
        <v>68.786666666666662</v>
      </c>
      <c r="P15" s="459">
        <f t="shared" si="1"/>
        <v>286</v>
      </c>
      <c r="Q15" s="459">
        <f t="shared" ca="1" si="1"/>
        <v>333218.77303598798</v>
      </c>
    </row>
    <row r="17" spans="1:17">
      <c r="A17" s="462" t="s">
        <v>563</v>
      </c>
      <c r="B17" s="766">
        <f ca="1">huishoudens!B10</f>
        <v>0.20018048551525958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7964.8030928915623</v>
      </c>
      <c r="C22" s="449">
        <f t="shared" ref="C22:C32" ca="1" si="3">C4*$C$17</f>
        <v>0</v>
      </c>
      <c r="D22" s="449">
        <f t="shared" ref="D22:D32" si="4">D4*$D$17</f>
        <v>12720.972468210435</v>
      </c>
      <c r="E22" s="449">
        <f t="shared" ref="E22:E32" si="5">E4*$E$17</f>
        <v>455.7524918450701</v>
      </c>
      <c r="F22" s="449">
        <f t="shared" ref="F22:F32" si="6">F4*$F$17</f>
        <v>16342.952722346809</v>
      </c>
      <c r="G22" s="449">
        <f t="shared" ref="G22:G32" si="7">G4*$G$17</f>
        <v>0</v>
      </c>
      <c r="H22" s="449">
        <f t="shared" ref="H22:H32" si="8">H4*$H$17</f>
        <v>0</v>
      </c>
      <c r="I22" s="449">
        <f t="shared" ref="I22:I32" si="9">I4*$I$17</f>
        <v>0</v>
      </c>
      <c r="J22" s="449">
        <f t="shared" ref="J22:J32" si="10">J4*$J$17</f>
        <v>393.16165771412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37877.64243300799</v>
      </c>
    </row>
    <row r="23" spans="1:17">
      <c r="A23" s="448" t="s">
        <v>155</v>
      </c>
      <c r="B23" s="449">
        <f t="shared" ca="1" si="2"/>
        <v>2627.7139835448102</v>
      </c>
      <c r="C23" s="449">
        <f t="shared" ca="1" si="3"/>
        <v>0</v>
      </c>
      <c r="D23" s="449">
        <f t="shared" ca="1" si="4"/>
        <v>2710.1087659946925</v>
      </c>
      <c r="E23" s="449">
        <f t="shared" si="5"/>
        <v>29.057208614817753</v>
      </c>
      <c r="F23" s="449">
        <f t="shared" ca="1" si="6"/>
        <v>766.98243280846145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6133.8623909627813</v>
      </c>
    </row>
    <row r="24" spans="1:17">
      <c r="A24" s="448" t="s">
        <v>193</v>
      </c>
      <c r="B24" s="449">
        <f t="shared" ca="1" si="2"/>
        <v>277.6785588581227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277.6785588581227</v>
      </c>
    </row>
    <row r="25" spans="1:17">
      <c r="A25" s="448" t="s">
        <v>111</v>
      </c>
      <c r="B25" s="449">
        <f t="shared" ca="1" si="2"/>
        <v>591.31373670498181</v>
      </c>
      <c r="C25" s="449">
        <f t="shared" ca="1" si="3"/>
        <v>0</v>
      </c>
      <c r="D25" s="449">
        <f t="shared" si="4"/>
        <v>35.332566317473429</v>
      </c>
      <c r="E25" s="449">
        <f t="shared" si="5"/>
        <v>6.3168982148648434</v>
      </c>
      <c r="F25" s="449">
        <f t="shared" si="6"/>
        <v>2573.764069484117</v>
      </c>
      <c r="G25" s="449">
        <f t="shared" si="7"/>
        <v>0</v>
      </c>
      <c r="H25" s="449">
        <f t="shared" si="8"/>
        <v>0</v>
      </c>
      <c r="I25" s="449">
        <f t="shared" si="9"/>
        <v>0</v>
      </c>
      <c r="J25" s="449">
        <f t="shared" si="10"/>
        <v>129.35590778402695</v>
      </c>
      <c r="K25" s="449">
        <f t="shared" si="11"/>
        <v>0</v>
      </c>
      <c r="L25" s="449">
        <f t="shared" si="12"/>
        <v>0</v>
      </c>
      <c r="M25" s="449">
        <f t="shared" si="13"/>
        <v>0</v>
      </c>
      <c r="N25" s="449">
        <f t="shared" si="14"/>
        <v>0</v>
      </c>
      <c r="O25" s="449">
        <f t="shared" si="15"/>
        <v>0</v>
      </c>
      <c r="P25" s="450">
        <f t="shared" si="16"/>
        <v>0</v>
      </c>
      <c r="Q25" s="448">
        <f t="shared" ca="1" si="17"/>
        <v>3336.0831785054638</v>
      </c>
    </row>
    <row r="26" spans="1:17">
      <c r="A26" s="448" t="s">
        <v>671</v>
      </c>
      <c r="B26" s="449">
        <f t="shared" ca="1" si="2"/>
        <v>5151.9606795413483</v>
      </c>
      <c r="C26" s="449">
        <f t="shared" ca="1" si="3"/>
        <v>0</v>
      </c>
      <c r="D26" s="449">
        <f t="shared" si="4"/>
        <v>627.75957483941249</v>
      </c>
      <c r="E26" s="449">
        <f t="shared" si="5"/>
        <v>49.437546009033085</v>
      </c>
      <c r="F26" s="449">
        <f t="shared" si="6"/>
        <v>4215.5018258375158</v>
      </c>
      <c r="G26" s="449">
        <f t="shared" si="7"/>
        <v>0</v>
      </c>
      <c r="H26" s="449">
        <f t="shared" si="8"/>
        <v>0</v>
      </c>
      <c r="I26" s="449">
        <f t="shared" si="9"/>
        <v>0</v>
      </c>
      <c r="J26" s="449">
        <f t="shared" si="10"/>
        <v>9.1633258133034232</v>
      </c>
      <c r="K26" s="449">
        <f t="shared" si="11"/>
        <v>0</v>
      </c>
      <c r="L26" s="449">
        <f t="shared" si="12"/>
        <v>0</v>
      </c>
      <c r="M26" s="449">
        <f t="shared" si="13"/>
        <v>0</v>
      </c>
      <c r="N26" s="449">
        <f t="shared" si="14"/>
        <v>0</v>
      </c>
      <c r="O26" s="449">
        <f t="shared" si="15"/>
        <v>0</v>
      </c>
      <c r="P26" s="450">
        <f t="shared" si="16"/>
        <v>0</v>
      </c>
      <c r="Q26" s="448">
        <f t="shared" ca="1" si="17"/>
        <v>10053.822952040613</v>
      </c>
    </row>
    <row r="27" spans="1:17" s="454" customFormat="1">
      <c r="A27" s="452" t="s">
        <v>568</v>
      </c>
      <c r="B27" s="760">
        <f t="shared" ca="1" si="2"/>
        <v>0.54223533749219099</v>
      </c>
      <c r="C27" s="453">
        <f t="shared" ca="1" si="3"/>
        <v>0</v>
      </c>
      <c r="D27" s="453">
        <f t="shared" si="4"/>
        <v>0.83089934579060187</v>
      </c>
      <c r="E27" s="453">
        <f t="shared" si="5"/>
        <v>58.568466742763121</v>
      </c>
      <c r="F27" s="453">
        <f t="shared" si="6"/>
        <v>0</v>
      </c>
      <c r="G27" s="453">
        <f t="shared" si="7"/>
        <v>12397.228855977675</v>
      </c>
      <c r="H27" s="453">
        <f t="shared" si="8"/>
        <v>2424.7990099856929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14881.969467389414</v>
      </c>
    </row>
    <row r="28" spans="1:17">
      <c r="A28" s="448" t="s">
        <v>558</v>
      </c>
      <c r="B28" s="449">
        <f t="shared" ca="1" si="2"/>
        <v>0.61361762114604179</v>
      </c>
      <c r="C28" s="449">
        <f t="shared" ca="1" si="3"/>
        <v>0</v>
      </c>
      <c r="D28" s="449">
        <f t="shared" si="4"/>
        <v>0</v>
      </c>
      <c r="E28" s="449">
        <f t="shared" si="5"/>
        <v>0</v>
      </c>
      <c r="F28" s="449">
        <f t="shared" si="6"/>
        <v>0</v>
      </c>
      <c r="G28" s="449">
        <f t="shared" si="7"/>
        <v>163.2396592036196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163.85327682476563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121.24431556445484</v>
      </c>
      <c r="C32" s="449">
        <f t="shared" ca="1" si="3"/>
        <v>0</v>
      </c>
      <c r="D32" s="449">
        <f t="shared" si="4"/>
        <v>513.56748885178888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634.81180441624372</v>
      </c>
    </row>
    <row r="33" spans="1:17" s="461" customFormat="1">
      <c r="A33" s="458" t="s">
        <v>562</v>
      </c>
      <c r="B33" s="459">
        <f ca="1">SUM(B22:B32)</f>
        <v>16735.87022006392</v>
      </c>
      <c r="C33" s="459">
        <f t="shared" ref="C33:Q33" ca="1" si="18">SUM(C22:C32)</f>
        <v>0</v>
      </c>
      <c r="D33" s="459">
        <f t="shared" ca="1" si="18"/>
        <v>16608.571763559594</v>
      </c>
      <c r="E33" s="459">
        <f t="shared" si="18"/>
        <v>599.13261142654892</v>
      </c>
      <c r="F33" s="459">
        <f t="shared" ca="1" si="18"/>
        <v>23899.201050476902</v>
      </c>
      <c r="G33" s="459">
        <f t="shared" si="18"/>
        <v>12560.468515181296</v>
      </c>
      <c r="H33" s="459">
        <f t="shared" si="18"/>
        <v>2424.7990099856929</v>
      </c>
      <c r="I33" s="459">
        <f t="shared" si="18"/>
        <v>0</v>
      </c>
      <c r="J33" s="459">
        <f t="shared" si="18"/>
        <v>531.68089131145041</v>
      </c>
      <c r="K33" s="459">
        <f t="shared" si="18"/>
        <v>0</v>
      </c>
      <c r="L33" s="459">
        <f t="shared" ca="1" si="18"/>
        <v>0</v>
      </c>
      <c r="M33" s="459">
        <f t="shared" si="18"/>
        <v>0</v>
      </c>
      <c r="N33" s="459">
        <f t="shared" ca="1" si="18"/>
        <v>0</v>
      </c>
      <c r="O33" s="459">
        <f t="shared" si="18"/>
        <v>0</v>
      </c>
      <c r="P33" s="459">
        <f t="shared" si="18"/>
        <v>0</v>
      </c>
      <c r="Q33" s="459">
        <f t="shared" ca="1" si="18"/>
        <v>73359.724062005393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3393.7085912764041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4482.2764922171918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7875.985083493596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0.20018048551525958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0.20018048551525958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0.20018048551525958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0.20018048551525958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7107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2680</v>
      </c>
      <c r="C14" s="327"/>
      <c r="D14" s="327"/>
      <c r="E14" s="327"/>
      <c r="F14" s="327"/>
    </row>
    <row r="15" spans="1:6">
      <c r="A15" s="1295" t="s">
        <v>183</v>
      </c>
      <c r="B15" s="1296">
        <v>407</v>
      </c>
      <c r="C15" s="327"/>
      <c r="D15" s="327"/>
      <c r="E15" s="327"/>
      <c r="F15" s="327"/>
    </row>
    <row r="16" spans="1:6">
      <c r="A16" s="1295" t="s">
        <v>6</v>
      </c>
      <c r="B16" s="1296">
        <v>3863</v>
      </c>
      <c r="C16" s="327"/>
      <c r="D16" s="327"/>
      <c r="E16" s="327"/>
      <c r="F16" s="327"/>
    </row>
    <row r="17" spans="1:6">
      <c r="A17" s="1295" t="s">
        <v>7</v>
      </c>
      <c r="B17" s="1296">
        <v>250</v>
      </c>
      <c r="C17" s="327"/>
      <c r="D17" s="327"/>
      <c r="E17" s="327"/>
      <c r="F17" s="327"/>
    </row>
    <row r="18" spans="1:6">
      <c r="A18" s="1295" t="s">
        <v>8</v>
      </c>
      <c r="B18" s="1296">
        <v>2094</v>
      </c>
      <c r="C18" s="327"/>
      <c r="D18" s="327"/>
      <c r="E18" s="327"/>
      <c r="F18" s="327"/>
    </row>
    <row r="19" spans="1:6">
      <c r="A19" s="1295" t="s">
        <v>9</v>
      </c>
      <c r="B19" s="1296">
        <v>2092</v>
      </c>
      <c r="C19" s="327"/>
      <c r="D19" s="327"/>
      <c r="E19" s="327"/>
      <c r="F19" s="327"/>
    </row>
    <row r="20" spans="1:6">
      <c r="A20" s="1295" t="s">
        <v>10</v>
      </c>
      <c r="B20" s="1296">
        <v>975</v>
      </c>
      <c r="C20" s="327"/>
      <c r="D20" s="327"/>
      <c r="E20" s="327"/>
      <c r="F20" s="327"/>
    </row>
    <row r="21" spans="1:6">
      <c r="A21" s="1295" t="s">
        <v>11</v>
      </c>
      <c r="B21" s="1296">
        <v>7612</v>
      </c>
      <c r="C21" s="327"/>
      <c r="D21" s="327"/>
      <c r="E21" s="327"/>
      <c r="F21" s="327"/>
    </row>
    <row r="22" spans="1:6">
      <c r="A22" s="1295" t="s">
        <v>12</v>
      </c>
      <c r="B22" s="1296">
        <v>19232</v>
      </c>
      <c r="C22" s="327"/>
      <c r="D22" s="327"/>
      <c r="E22" s="327"/>
      <c r="F22" s="327"/>
    </row>
    <row r="23" spans="1:6">
      <c r="A23" s="1295" t="s">
        <v>13</v>
      </c>
      <c r="B23" s="1296">
        <v>171</v>
      </c>
      <c r="C23" s="327"/>
      <c r="D23" s="327"/>
      <c r="E23" s="327"/>
      <c r="F23" s="327"/>
    </row>
    <row r="24" spans="1:6">
      <c r="A24" s="1295" t="s">
        <v>14</v>
      </c>
      <c r="B24" s="1296">
        <v>8</v>
      </c>
      <c r="C24" s="327"/>
      <c r="D24" s="327"/>
      <c r="E24" s="327"/>
      <c r="F24" s="327"/>
    </row>
    <row r="25" spans="1:6">
      <c r="A25" s="1295" t="s">
        <v>15</v>
      </c>
      <c r="B25" s="1296">
        <v>1358</v>
      </c>
      <c r="C25" s="327"/>
      <c r="D25" s="327"/>
      <c r="E25" s="327"/>
      <c r="F25" s="327"/>
    </row>
    <row r="26" spans="1:6">
      <c r="A26" s="1295" t="s">
        <v>16</v>
      </c>
      <c r="B26" s="1296">
        <v>40</v>
      </c>
      <c r="C26" s="327"/>
      <c r="D26" s="327"/>
      <c r="E26" s="327"/>
      <c r="F26" s="327"/>
    </row>
    <row r="27" spans="1:6">
      <c r="A27" s="1295" t="s">
        <v>17</v>
      </c>
      <c r="B27" s="1296">
        <v>15</v>
      </c>
      <c r="C27" s="327"/>
      <c r="D27" s="327"/>
      <c r="E27" s="327"/>
      <c r="F27" s="327"/>
    </row>
    <row r="28" spans="1:6" s="44" customFormat="1">
      <c r="A28" s="1297" t="s">
        <v>18</v>
      </c>
      <c r="B28" s="1298">
        <v>317862</v>
      </c>
      <c r="C28" s="333"/>
      <c r="D28" s="333"/>
      <c r="E28" s="333"/>
      <c r="F28" s="333"/>
    </row>
    <row r="29" spans="1:6">
      <c r="A29" s="1297" t="s">
        <v>961</v>
      </c>
      <c r="B29" s="1298">
        <v>164</v>
      </c>
      <c r="C29" s="333"/>
      <c r="D29" s="333"/>
      <c r="E29" s="333"/>
      <c r="F29" s="333"/>
    </row>
    <row r="30" spans="1:6">
      <c r="A30" s="1290" t="s">
        <v>962</v>
      </c>
      <c r="B30" s="1299">
        <v>34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14561</v>
      </c>
    </row>
    <row r="37" spans="1:6">
      <c r="A37" s="1295" t="s">
        <v>24</v>
      </c>
      <c r="B37" s="1295" t="s">
        <v>27</v>
      </c>
      <c r="C37" s="1296">
        <v>0</v>
      </c>
      <c r="D37" s="1296">
        <v>0</v>
      </c>
      <c r="E37" s="1296">
        <v>0</v>
      </c>
      <c r="F37" s="1296">
        <v>0</v>
      </c>
    </row>
    <row r="38" spans="1:6">
      <c r="A38" s="1295" t="s">
        <v>24</v>
      </c>
      <c r="B38" s="1295" t="s">
        <v>28</v>
      </c>
      <c r="C38" s="1296">
        <v>1</v>
      </c>
      <c r="D38" s="1296">
        <v>201336.98718351001</v>
      </c>
      <c r="E38" s="1296">
        <v>1</v>
      </c>
      <c r="F38" s="1296">
        <v>0</v>
      </c>
    </row>
    <row r="39" spans="1:6">
      <c r="A39" s="1295" t="s">
        <v>29</v>
      </c>
      <c r="B39" s="1295" t="s">
        <v>30</v>
      </c>
      <c r="C39" s="1296">
        <v>3401</v>
      </c>
      <c r="D39" s="1296">
        <v>69798528.715900198</v>
      </c>
      <c r="E39" s="1296">
        <v>7375</v>
      </c>
      <c r="F39" s="1296">
        <v>36888210</v>
      </c>
    </row>
    <row r="40" spans="1:6">
      <c r="A40" s="1295" t="s">
        <v>29</v>
      </c>
      <c r="B40" s="1295" t="s">
        <v>28</v>
      </c>
      <c r="C40" s="1296">
        <v>1</v>
      </c>
      <c r="D40" s="1296">
        <v>18667.7683176725</v>
      </c>
      <c r="E40" s="1296">
        <v>0</v>
      </c>
      <c r="F40" s="1296">
        <v>0</v>
      </c>
    </row>
    <row r="41" spans="1:6">
      <c r="A41" s="1295" t="s">
        <v>31</v>
      </c>
      <c r="B41" s="1295" t="s">
        <v>32</v>
      </c>
      <c r="C41" s="1296">
        <v>49</v>
      </c>
      <c r="D41" s="1296">
        <v>1259927.7508137899</v>
      </c>
      <c r="E41" s="1296">
        <v>136</v>
      </c>
      <c r="F41" s="1296">
        <v>18703590</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114242.101694425</v>
      </c>
      <c r="E44" s="1296">
        <v>33</v>
      </c>
      <c r="F44" s="1296">
        <v>1453841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6</v>
      </c>
      <c r="F47" s="1296">
        <v>1717925</v>
      </c>
    </row>
    <row r="48" spans="1:6">
      <c r="A48" s="1295" t="s">
        <v>31</v>
      </c>
      <c r="B48" s="1295" t="s">
        <v>28</v>
      </c>
      <c r="C48" s="1296">
        <v>29</v>
      </c>
      <c r="D48" s="1296">
        <v>1578463.7160803699</v>
      </c>
      <c r="E48" s="1296">
        <v>5</v>
      </c>
      <c r="F48" s="1296">
        <v>51713</v>
      </c>
    </row>
    <row r="49" spans="1:6">
      <c r="A49" s="1295" t="s">
        <v>31</v>
      </c>
      <c r="B49" s="1295" t="s">
        <v>39</v>
      </c>
      <c r="C49" s="1296">
        <v>0</v>
      </c>
      <c r="D49" s="1296">
        <v>0</v>
      </c>
      <c r="E49" s="1296">
        <v>0</v>
      </c>
      <c r="F49" s="1296">
        <v>0</v>
      </c>
    </row>
    <row r="50" spans="1:6">
      <c r="A50" s="1295" t="s">
        <v>31</v>
      </c>
      <c r="B50" s="1295" t="s">
        <v>40</v>
      </c>
      <c r="C50" s="1296">
        <v>9</v>
      </c>
      <c r="D50" s="1296">
        <v>492733.02511634101</v>
      </c>
      <c r="E50" s="1296">
        <v>19</v>
      </c>
      <c r="F50" s="1296">
        <v>3809509</v>
      </c>
    </row>
    <row r="51" spans="1:6">
      <c r="A51" s="1295" t="s">
        <v>41</v>
      </c>
      <c r="B51" s="1295" t="s">
        <v>42</v>
      </c>
      <c r="C51" s="1296">
        <v>0</v>
      </c>
      <c r="D51" s="1296">
        <v>0</v>
      </c>
      <c r="E51" s="1296">
        <v>114</v>
      </c>
      <c r="F51" s="1296">
        <v>2953903</v>
      </c>
    </row>
    <row r="52" spans="1:6">
      <c r="A52" s="1295" t="s">
        <v>41</v>
      </c>
      <c r="B52" s="1295" t="s">
        <v>28</v>
      </c>
      <c r="C52" s="1296">
        <v>7</v>
      </c>
      <c r="D52" s="1296">
        <v>193917.62155316799</v>
      </c>
      <c r="E52" s="1296">
        <v>0</v>
      </c>
      <c r="F52" s="1296">
        <v>0</v>
      </c>
    </row>
    <row r="53" spans="1:6">
      <c r="A53" s="1295" t="s">
        <v>43</v>
      </c>
      <c r="B53" s="1295" t="s">
        <v>44</v>
      </c>
      <c r="C53" s="1296">
        <v>72</v>
      </c>
      <c r="D53" s="1296">
        <v>2542413.31114747</v>
      </c>
      <c r="E53" s="1296">
        <v>0</v>
      </c>
      <c r="F53" s="1296">
        <v>0</v>
      </c>
    </row>
    <row r="54" spans="1:6">
      <c r="A54" s="1295" t="s">
        <v>45</v>
      </c>
      <c r="B54" s="1295" t="s">
        <v>46</v>
      </c>
      <c r="C54" s="1296">
        <v>0</v>
      </c>
      <c r="D54" s="1296">
        <v>0</v>
      </c>
      <c r="E54" s="1296">
        <v>3</v>
      </c>
      <c r="F54" s="1296">
        <v>1387141</v>
      </c>
    </row>
    <row r="55" spans="1:6">
      <c r="A55" s="1295" t="s">
        <v>45</v>
      </c>
      <c r="B55" s="1295" t="s">
        <v>28</v>
      </c>
      <c r="C55" s="1296">
        <v>0</v>
      </c>
      <c r="D55" s="1296">
        <v>0</v>
      </c>
      <c r="E55" s="1296">
        <v>0</v>
      </c>
      <c r="F55" s="1296">
        <v>0</v>
      </c>
    </row>
    <row r="56" spans="1:6">
      <c r="A56" s="1295" t="s">
        <v>47</v>
      </c>
      <c r="B56" s="1295" t="s">
        <v>28</v>
      </c>
      <c r="C56" s="1296">
        <v>0</v>
      </c>
      <c r="D56" s="1296">
        <v>0</v>
      </c>
      <c r="E56" s="1296">
        <v>79</v>
      </c>
      <c r="F56" s="1296">
        <v>605675</v>
      </c>
    </row>
    <row r="57" spans="1:6">
      <c r="A57" s="1295" t="s">
        <v>48</v>
      </c>
      <c r="B57" s="1295" t="s">
        <v>49</v>
      </c>
      <c r="C57" s="1296">
        <v>31</v>
      </c>
      <c r="D57" s="1296">
        <v>3111581.31881609</v>
      </c>
      <c r="E57" s="1296">
        <v>78</v>
      </c>
      <c r="F57" s="1296">
        <v>2247336</v>
      </c>
    </row>
    <row r="58" spans="1:6">
      <c r="A58" s="1295" t="s">
        <v>48</v>
      </c>
      <c r="B58" s="1295" t="s">
        <v>50</v>
      </c>
      <c r="C58" s="1296">
        <v>3</v>
      </c>
      <c r="D58" s="1296">
        <v>67757.975037336306</v>
      </c>
      <c r="E58" s="1296">
        <v>22</v>
      </c>
      <c r="F58" s="1296">
        <v>814788</v>
      </c>
    </row>
    <row r="59" spans="1:6">
      <c r="A59" s="1295" t="s">
        <v>48</v>
      </c>
      <c r="B59" s="1295" t="s">
        <v>51</v>
      </c>
      <c r="C59" s="1296">
        <v>25</v>
      </c>
      <c r="D59" s="1296">
        <v>1769969.2472224501</v>
      </c>
      <c r="E59" s="1296">
        <v>155</v>
      </c>
      <c r="F59" s="1296">
        <v>4634573</v>
      </c>
    </row>
    <row r="60" spans="1:6">
      <c r="A60" s="1295" t="s">
        <v>48</v>
      </c>
      <c r="B60" s="1295" t="s">
        <v>52</v>
      </c>
      <c r="C60" s="1296">
        <v>29</v>
      </c>
      <c r="D60" s="1296">
        <v>1416684.7777914701</v>
      </c>
      <c r="E60" s="1296">
        <v>58</v>
      </c>
      <c r="F60" s="1296">
        <v>1505136</v>
      </c>
    </row>
    <row r="61" spans="1:6">
      <c r="A61" s="1295" t="s">
        <v>48</v>
      </c>
      <c r="B61" s="1295" t="s">
        <v>53</v>
      </c>
      <c r="C61" s="1296">
        <v>69</v>
      </c>
      <c r="D61" s="1296">
        <v>2010507.8223861901</v>
      </c>
      <c r="E61" s="1296">
        <v>278</v>
      </c>
      <c r="F61" s="1296">
        <v>3249132</v>
      </c>
    </row>
    <row r="62" spans="1:6">
      <c r="A62" s="1295" t="s">
        <v>48</v>
      </c>
      <c r="B62" s="1295" t="s">
        <v>54</v>
      </c>
      <c r="C62" s="1296">
        <v>8</v>
      </c>
      <c r="D62" s="1296">
        <v>1746574.8911075401</v>
      </c>
      <c r="E62" s="1296">
        <v>22</v>
      </c>
      <c r="F62" s="1296">
        <v>675759</v>
      </c>
    </row>
    <row r="63" spans="1:6">
      <c r="A63" s="1295" t="s">
        <v>48</v>
      </c>
      <c r="B63" s="1295" t="s">
        <v>28</v>
      </c>
      <c r="C63" s="1296">
        <v>89</v>
      </c>
      <c r="D63" s="1296">
        <v>4750959.47725832</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77684.789806007495</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11</v>
      </c>
      <c r="F68" s="1299">
        <v>78072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33371274</v>
      </c>
      <c r="E73" s="447"/>
      <c r="F73" s="327"/>
    </row>
    <row r="74" spans="1:6">
      <c r="A74" s="1295" t="s">
        <v>63</v>
      </c>
      <c r="B74" s="1295" t="s">
        <v>755</v>
      </c>
      <c r="C74" s="1309" t="s">
        <v>749</v>
      </c>
      <c r="D74" s="1310">
        <v>1583372.0995573602</v>
      </c>
      <c r="E74" s="447"/>
      <c r="F74" s="327"/>
    </row>
    <row r="75" spans="1:6">
      <c r="A75" s="1295" t="s">
        <v>64</v>
      </c>
      <c r="B75" s="1295" t="s">
        <v>754</v>
      </c>
      <c r="C75" s="1309" t="s">
        <v>750</v>
      </c>
      <c r="D75" s="1310">
        <v>33534649</v>
      </c>
      <c r="E75" s="447"/>
      <c r="F75" s="327"/>
    </row>
    <row r="76" spans="1:6">
      <c r="A76" s="1295" t="s">
        <v>64</v>
      </c>
      <c r="B76" s="1295" t="s">
        <v>755</v>
      </c>
      <c r="C76" s="1309" t="s">
        <v>751</v>
      </c>
      <c r="D76" s="1310">
        <v>979302.09955736005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168877.80088527987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3393.7085912764041</v>
      </c>
      <c r="C90" s="327"/>
      <c r="D90" s="327"/>
      <c r="E90" s="327"/>
      <c r="F90" s="327"/>
    </row>
    <row r="91" spans="1:6">
      <c r="A91" s="1295" t="s">
        <v>67</v>
      </c>
      <c r="B91" s="1296">
        <v>2899.8995771666187</v>
      </c>
      <c r="C91" s="327"/>
      <c r="D91" s="327"/>
      <c r="E91" s="327"/>
      <c r="F91" s="327"/>
    </row>
    <row r="92" spans="1:6">
      <c r="A92" s="1290" t="s">
        <v>68</v>
      </c>
      <c r="B92" s="1291">
        <v>1582.3769150505736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1669</v>
      </c>
      <c r="C97" s="327"/>
      <c r="D97" s="327"/>
      <c r="E97" s="327"/>
      <c r="F97" s="327"/>
    </row>
    <row r="98" spans="1:6">
      <c r="A98" s="1295" t="s">
        <v>71</v>
      </c>
      <c r="B98" s="1296">
        <v>6</v>
      </c>
      <c r="C98" s="327"/>
      <c r="D98" s="327"/>
      <c r="E98" s="327"/>
      <c r="F98" s="327"/>
    </row>
    <row r="99" spans="1:6">
      <c r="A99" s="1295" t="s">
        <v>72</v>
      </c>
      <c r="B99" s="1296">
        <v>290</v>
      </c>
      <c r="C99" s="327"/>
      <c r="D99" s="327"/>
      <c r="E99" s="327"/>
      <c r="F99" s="327"/>
    </row>
    <row r="100" spans="1:6">
      <c r="A100" s="1295" t="s">
        <v>73</v>
      </c>
      <c r="B100" s="1296">
        <v>730</v>
      </c>
      <c r="C100" s="327"/>
      <c r="D100" s="327"/>
      <c r="E100" s="327"/>
      <c r="F100" s="327"/>
    </row>
    <row r="101" spans="1:6">
      <c r="A101" s="1295" t="s">
        <v>74</v>
      </c>
      <c r="B101" s="1296">
        <v>169</v>
      </c>
      <c r="C101" s="327"/>
      <c r="D101" s="327"/>
      <c r="E101" s="327"/>
      <c r="F101" s="327"/>
    </row>
    <row r="102" spans="1:6">
      <c r="A102" s="1295" t="s">
        <v>75</v>
      </c>
      <c r="B102" s="1296">
        <v>69</v>
      </c>
      <c r="C102" s="327"/>
      <c r="D102" s="327"/>
      <c r="E102" s="327"/>
      <c r="F102" s="327"/>
    </row>
    <row r="103" spans="1:6">
      <c r="A103" s="1295" t="s">
        <v>76</v>
      </c>
      <c r="B103" s="1296">
        <v>176</v>
      </c>
      <c r="C103" s="327"/>
      <c r="D103" s="327"/>
      <c r="E103" s="327"/>
      <c r="F103" s="327"/>
    </row>
    <row r="104" spans="1:6">
      <c r="A104" s="1295" t="s">
        <v>77</v>
      </c>
      <c r="B104" s="1296">
        <v>2931</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6</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36</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83603.904631294121</v>
      </c>
      <c r="C3" s="44" t="s">
        <v>169</v>
      </c>
      <c r="D3" s="44"/>
      <c r="E3" s="157"/>
      <c r="F3" s="44"/>
      <c r="G3" s="44"/>
      <c r="H3" s="44"/>
      <c r="I3" s="44"/>
      <c r="J3" s="44"/>
      <c r="K3" s="97"/>
    </row>
    <row r="4" spans="1:11">
      <c r="A4" s="354" t="s">
        <v>170</v>
      </c>
      <c r="B4" s="50">
        <f>IF(ISERROR('SEAP template'!B78+'SEAP template'!C78),0,'SEAP template'!B78+'SEAP template'!C78)</f>
        <v>7875.985083493596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0.20018048551525958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1387.1410000000001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1387.1410000000001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0.20018048551525958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277.6785588581227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36888.21</v>
      </c>
      <c r="C5" s="18">
        <f>IF(ISERROR('Eigen informatie GS &amp; warmtenet'!B57),0,'Eigen informatie GS &amp; warmtenet'!B57)</f>
        <v>0</v>
      </c>
      <c r="D5" s="31">
        <f>(SUM(HH_hh_gas_kWh,HH_rest_gas_kWh)/1000)*0.902</f>
        <v>62975.111228764523</v>
      </c>
      <c r="E5" s="18">
        <f>B32*B41</f>
        <v>2007.7202283923793</v>
      </c>
      <c r="F5" s="18">
        <f>B36*B45</f>
        <v>61209.560757853214</v>
      </c>
      <c r="G5" s="19"/>
      <c r="H5" s="18"/>
      <c r="I5" s="18"/>
      <c r="J5" s="18">
        <f>B35*B44+C35*C44</f>
        <v>1110.6261517348023</v>
      </c>
      <c r="K5" s="18"/>
      <c r="L5" s="18"/>
      <c r="M5" s="18"/>
      <c r="N5" s="18">
        <f>B34*B43+C34*C43</f>
        <v>10626.127944554968</v>
      </c>
      <c r="O5" s="18">
        <f>B52*B53*B54</f>
        <v>67.223333333333329</v>
      </c>
      <c r="P5" s="18">
        <f>B60*B61*B62/1000-B60*B61*B62/1000/B63</f>
        <v>286</v>
      </c>
    </row>
    <row r="6" spans="1:16">
      <c r="A6" s="17" t="s">
        <v>628</v>
      </c>
      <c r="B6" s="768">
        <f>kWh_PV_kleiner_dan_10kW</f>
        <v>2899.8995771666187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39788.109577166615</v>
      </c>
      <c r="C8" s="22">
        <f>C5</f>
        <v>0</v>
      </c>
      <c r="D8" s="22">
        <f>D5</f>
        <v>62975.111228764523</v>
      </c>
      <c r="E8" s="22">
        <f>E5</f>
        <v>2007.7202283923793</v>
      </c>
      <c r="F8" s="22">
        <f>F5</f>
        <v>61209.560757853214</v>
      </c>
      <c r="G8" s="22"/>
      <c r="H8" s="22"/>
      <c r="I8" s="22"/>
      <c r="J8" s="22">
        <f>J5</f>
        <v>1110.6261517348023</v>
      </c>
      <c r="K8" s="22"/>
      <c r="L8" s="22">
        <f>L5</f>
        <v>0</v>
      </c>
      <c r="M8" s="22">
        <f>M5</f>
        <v>0</v>
      </c>
      <c r="N8" s="22">
        <f>N5</f>
        <v>10626.127944554968</v>
      </c>
      <c r="O8" s="22">
        <f>O5</f>
        <v>67.223333333333329</v>
      </c>
      <c r="P8" s="22">
        <f>P5</f>
        <v>286</v>
      </c>
    </row>
    <row r="9" spans="1:16">
      <c r="B9" s="20"/>
      <c r="C9" s="20"/>
      <c r="D9" s="258"/>
      <c r="E9" s="20"/>
      <c r="F9" s="20"/>
      <c r="G9" s="20"/>
      <c r="H9" s="20"/>
      <c r="I9" s="20"/>
      <c r="J9" s="20"/>
      <c r="K9" s="20"/>
      <c r="L9" s="20"/>
      <c r="M9" s="20"/>
      <c r="N9" s="20"/>
      <c r="O9" s="20"/>
      <c r="P9" s="20"/>
    </row>
    <row r="10" spans="1:16">
      <c r="A10" s="25" t="s">
        <v>213</v>
      </c>
      <c r="B10" s="26">
        <f ca="1">'EF ele_warmte'!B12</f>
        <v>0.20018048551525958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7964.8030928915623</v>
      </c>
      <c r="C12" s="24">
        <f ca="1">C10*C8</f>
        <v>0</v>
      </c>
      <c r="D12" s="24">
        <f>D8*D10</f>
        <v>12720.972468210435</v>
      </c>
      <c r="E12" s="24">
        <f>E10*E8</f>
        <v>455.7524918450701</v>
      </c>
      <c r="F12" s="24">
        <f>F10*F8</f>
        <v>16342.952722346809</v>
      </c>
      <c r="G12" s="24"/>
      <c r="H12" s="24"/>
      <c r="I12" s="24"/>
      <c r="J12" s="24">
        <f>J10*J8</f>
        <v>393.16165771412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7107</v>
      </c>
      <c r="C26" s="37"/>
      <c r="D26" s="228"/>
    </row>
    <row r="27" spans="1:5" s="16" customFormat="1">
      <c r="A27" s="230" t="s">
        <v>654</v>
      </c>
      <c r="B27" s="38">
        <f>SUM(HH_hh_gas_aantal,HH_rest_gas_aantal)</f>
        <v>3402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3231.9</v>
      </c>
      <c r="C31" s="35" t="s">
        <v>110</v>
      </c>
      <c r="D31" s="174"/>
    </row>
    <row r="32" spans="1:5">
      <c r="A32" s="171" t="s">
        <v>72</v>
      </c>
      <c r="B32" s="34">
        <f>IF((B21*($B$26-($B$27-0.05*$B$27)-$B$60))&lt;0,0,B21*($B$26-($B$27-0.05*$B$27)-$B$60))</f>
        <v>94.863233526960215</v>
      </c>
      <c r="C32" s="35" t="s">
        <v>110</v>
      </c>
      <c r="D32" s="174"/>
    </row>
    <row r="33" spans="1:6">
      <c r="A33" s="171" t="s">
        <v>73</v>
      </c>
      <c r="B33" s="34">
        <f>IF((B22*($B$26-($B$27-0.05*$B$27)-$B$60))&lt;0,0,B22*($B$26-($B$27-0.05*$B$27)-$B$60))</f>
        <v>638.54082098440608</v>
      </c>
      <c r="C33" s="35" t="s">
        <v>110</v>
      </c>
      <c r="D33" s="174"/>
    </row>
    <row r="34" spans="1:6">
      <c r="A34" s="171" t="s">
        <v>74</v>
      </c>
      <c r="B34" s="34">
        <f>IF((B24*($B$26-($B$27-0.05*$B$27)-$B$60))&lt;0,0,B24*($B$26-($B$27-0.05*$B$27)-$B$60))</f>
        <v>161.94741142260648</v>
      </c>
      <c r="C34" s="34">
        <f>B26*C24</f>
        <v>1453.3980427440965</v>
      </c>
      <c r="D34" s="233"/>
    </row>
    <row r="35" spans="1:6">
      <c r="A35" s="171" t="s">
        <v>76</v>
      </c>
      <c r="B35" s="34">
        <f>IF((B19*($B$26-($B$27-0.05*$B$27)-$B$60))&lt;0,0,B19*($B$26-($B$27-0.05*$B$27)-$B$60))</f>
        <v>60.206922595454493</v>
      </c>
      <c r="C35" s="34">
        <f>B35/2</f>
        <v>30.103461297727247</v>
      </c>
      <c r="D35" s="233"/>
    </row>
    <row r="36" spans="1:6">
      <c r="A36" s="171" t="s">
        <v>77</v>
      </c>
      <c r="B36" s="34">
        <f>IF((B18*($B$26-($B$27-0.05*$B$27)-$B$60))&lt;0,0,B18*($B$26-($B$27-0.05*$B$27)-$B$60))</f>
        <v>2904.5416114705718</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13126.724</v>
      </c>
      <c r="C5" s="18">
        <f>IF(ISERROR('Eigen informatie GS &amp; warmtenet'!B58),0,'Eigen informatie GS &amp; warmtenet'!B58)</f>
        <v>0</v>
      </c>
      <c r="D5" s="31">
        <f>SUM(D6:D12)</f>
        <v>13416.380029676695</v>
      </c>
      <c r="E5" s="18">
        <f>SUM(E6:E12)</f>
        <v>128.00532429435134</v>
      </c>
      <c r="F5" s="18">
        <f>SUM(F6:F12)</f>
        <v>2872.5933813050988</v>
      </c>
      <c r="G5" s="19"/>
      <c r="H5" s="18"/>
      <c r="I5" s="18"/>
      <c r="J5" s="18">
        <f>SUM(J6:J12)</f>
        <v>0</v>
      </c>
      <c r="K5" s="18"/>
      <c r="L5" s="18"/>
      <c r="M5" s="18"/>
      <c r="N5" s="18">
        <f>SUM(N6:N12)</f>
        <v>1329.4977509153248</v>
      </c>
      <c r="O5" s="18">
        <f>B38*B39*B40</f>
        <v>1.5633333333333335</v>
      </c>
      <c r="P5" s="18">
        <f>B46*B47*B48/1000-B46*B47*B48/1000/B49</f>
        <v>0</v>
      </c>
      <c r="R5" s="33"/>
    </row>
    <row r="6" spans="1:18">
      <c r="A6" s="33" t="s">
        <v>53</v>
      </c>
      <c r="B6" s="38">
        <f>B26</f>
        <v>3249.1320000000001</v>
      </c>
      <c r="C6" s="34"/>
      <c r="D6" s="38">
        <f>IF(ISERROR(TER_kantoor_gas_kWh/1000),0,TER_kantoor_gas_kWh/1000)*0.902</f>
        <v>1813.4780557923436</v>
      </c>
      <c r="E6" s="34">
        <f>$C$26*'E Balans VL '!I12/100/3.6*1000000</f>
        <v>5.3324841325865462</v>
      </c>
      <c r="F6" s="34">
        <f>$C$26*('E Balans VL '!L12+'E Balans VL '!N12)/100/3.6*1000000</f>
        <v>382.99621487550974</v>
      </c>
      <c r="G6" s="35"/>
      <c r="H6" s="34"/>
      <c r="I6" s="34"/>
      <c r="J6" s="34">
        <f>$C$26*('E Balans VL '!D12+'E Balans VL '!E12)/100/3.6*1000000</f>
        <v>0</v>
      </c>
      <c r="K6" s="34"/>
      <c r="L6" s="34"/>
      <c r="M6" s="34"/>
      <c r="N6" s="34">
        <f>$C$26*'E Balans VL '!Y12/100/3.6*1000000</f>
        <v>0.65647173470037645</v>
      </c>
      <c r="O6" s="34"/>
      <c r="P6" s="34"/>
      <c r="R6" s="33"/>
    </row>
    <row r="7" spans="1:18">
      <c r="A7" s="33" t="s">
        <v>52</v>
      </c>
      <c r="B7" s="38">
        <f t="shared" ref="B7:B12" si="0">B27</f>
        <v>1505.136</v>
      </c>
      <c r="C7" s="34"/>
      <c r="D7" s="38">
        <f>IF(ISERROR(TER_horeca_gas_kWh/1000),0,TER_horeca_gas_kWh/1000)*0.902</f>
        <v>1277.8496695679059</v>
      </c>
      <c r="E7" s="34">
        <f>$C$27*'E Balans VL '!I9/100/3.6*1000000</f>
        <v>78.105667002836782</v>
      </c>
      <c r="F7" s="34">
        <f>$C$27*('E Balans VL '!L9+'E Balans VL '!N9)/100/3.6*1000000</f>
        <v>343.47312733209441</v>
      </c>
      <c r="G7" s="35"/>
      <c r="H7" s="34"/>
      <c r="I7" s="34"/>
      <c r="J7" s="34">
        <f>$C$27*('E Balans VL '!D9+'E Balans VL '!E9)/100/3.6*1000000</f>
        <v>0</v>
      </c>
      <c r="K7" s="34"/>
      <c r="L7" s="34"/>
      <c r="M7" s="34"/>
      <c r="N7" s="34">
        <f>$C$27*'E Balans VL '!Y9/100/3.6*1000000</f>
        <v>0.15894167184133562</v>
      </c>
      <c r="O7" s="34"/>
      <c r="P7" s="34"/>
      <c r="R7" s="33"/>
    </row>
    <row r="8" spans="1:18">
      <c r="A8" s="6" t="s">
        <v>51</v>
      </c>
      <c r="B8" s="38">
        <f t="shared" si="0"/>
        <v>4634.5730000000003</v>
      </c>
      <c r="C8" s="34"/>
      <c r="D8" s="38">
        <f>IF(ISERROR(TER_handel_gas_kWh/1000),0,TER_handel_gas_kWh/1000)*0.902</f>
        <v>1596.51226099465</v>
      </c>
      <c r="E8" s="34">
        <f>$C$28*'E Balans VL '!I13/100/3.6*1000000</f>
        <v>24.95774511832726</v>
      </c>
      <c r="F8" s="34">
        <f>$C$28*('E Balans VL '!L13+'E Balans VL '!N13)/100/3.6*1000000</f>
        <v>945.12716180492566</v>
      </c>
      <c r="G8" s="35"/>
      <c r="H8" s="34"/>
      <c r="I8" s="34"/>
      <c r="J8" s="34">
        <f>$C$28*('E Balans VL '!D13+'E Balans VL '!E13)/100/3.6*1000000</f>
        <v>0</v>
      </c>
      <c r="K8" s="34"/>
      <c r="L8" s="34"/>
      <c r="M8" s="34"/>
      <c r="N8" s="34">
        <f>$C$28*'E Balans VL '!Y13/100/3.6*1000000</f>
        <v>23.045284081119501</v>
      </c>
      <c r="O8" s="34"/>
      <c r="P8" s="34"/>
      <c r="R8" s="33"/>
    </row>
    <row r="9" spans="1:18">
      <c r="A9" s="33" t="s">
        <v>50</v>
      </c>
      <c r="B9" s="38">
        <f t="shared" si="0"/>
        <v>814.78800000000001</v>
      </c>
      <c r="C9" s="34"/>
      <c r="D9" s="38">
        <f>IF(ISERROR(TER_gezond_gas_kWh/1000),0,TER_gezond_gas_kWh/1000)*0.902</f>
        <v>61.11769348367735</v>
      </c>
      <c r="E9" s="34">
        <f>$C$29*'E Balans VL '!I10/100/3.6*1000000</f>
        <v>0.80746417373078871</v>
      </c>
      <c r="F9" s="34">
        <f>$C$29*('E Balans VL '!L10+'E Balans VL '!N10)/100/3.6*1000000</f>
        <v>282.70795063690076</v>
      </c>
      <c r="G9" s="35"/>
      <c r="H9" s="34"/>
      <c r="I9" s="34"/>
      <c r="J9" s="34">
        <f>$C$29*('E Balans VL '!D10+'E Balans VL '!E10)/100/3.6*1000000</f>
        <v>0</v>
      </c>
      <c r="K9" s="34"/>
      <c r="L9" s="34"/>
      <c r="M9" s="34"/>
      <c r="N9" s="34">
        <f>$C$29*'E Balans VL '!Y10/100/3.6*1000000</f>
        <v>7.0209576112539649</v>
      </c>
      <c r="O9" s="34"/>
      <c r="P9" s="34"/>
      <c r="R9" s="33"/>
    </row>
    <row r="10" spans="1:18">
      <c r="A10" s="33" t="s">
        <v>49</v>
      </c>
      <c r="B10" s="38">
        <f t="shared" si="0"/>
        <v>2247.3359999999998</v>
      </c>
      <c r="C10" s="34"/>
      <c r="D10" s="38">
        <f>IF(ISERROR(TER_ander_gas_kWh/1000),0,TER_ander_gas_kWh/1000)*0.902</f>
        <v>2806.6463495721132</v>
      </c>
      <c r="E10" s="34">
        <f>$C$30*'E Balans VL '!I14/100/3.6*1000000</f>
        <v>18.385454532373004</v>
      </c>
      <c r="F10" s="34">
        <f>$C$30*('E Balans VL '!L14+'E Balans VL '!N14)/100/3.6*1000000</f>
        <v>657.02955356212681</v>
      </c>
      <c r="G10" s="35"/>
      <c r="H10" s="34"/>
      <c r="I10" s="34"/>
      <c r="J10" s="34">
        <f>$C$30*('E Balans VL '!D14+'E Balans VL '!E14)/100/3.6*1000000</f>
        <v>0</v>
      </c>
      <c r="K10" s="34"/>
      <c r="L10" s="34"/>
      <c r="M10" s="34"/>
      <c r="N10" s="34">
        <f>$C$30*'E Balans VL '!Y14/100/3.6*1000000</f>
        <v>1296.4179966014713</v>
      </c>
      <c r="O10" s="34"/>
      <c r="P10" s="34"/>
      <c r="R10" s="33"/>
    </row>
    <row r="11" spans="1:18">
      <c r="A11" s="33" t="s">
        <v>54</v>
      </c>
      <c r="B11" s="38">
        <f t="shared" si="0"/>
        <v>675.75900000000001</v>
      </c>
      <c r="C11" s="34"/>
      <c r="D11" s="38">
        <f>IF(ISERROR(TER_onderwijs_gas_kWh/1000),0,TER_onderwijs_gas_kWh/1000)*0.902</f>
        <v>1575.4105517790013</v>
      </c>
      <c r="E11" s="34">
        <f>$C$31*'E Balans VL '!I11/100/3.6*1000000</f>
        <v>0.41650933449695737</v>
      </c>
      <c r="F11" s="34">
        <f>$C$31*('E Balans VL '!L11+'E Balans VL '!N11)/100/3.6*1000000</f>
        <v>261.25937309354151</v>
      </c>
      <c r="G11" s="35"/>
      <c r="H11" s="34"/>
      <c r="I11" s="34"/>
      <c r="J11" s="34">
        <f>$C$31*('E Balans VL '!D11+'E Balans VL '!E11)/100/3.6*1000000</f>
        <v>0</v>
      </c>
      <c r="K11" s="34"/>
      <c r="L11" s="34"/>
      <c r="M11" s="34"/>
      <c r="N11" s="34">
        <f>$C$31*'E Balans VL '!Y11/100/3.6*1000000</f>
        <v>2.1980992149382472</v>
      </c>
      <c r="O11" s="34"/>
      <c r="P11" s="34"/>
      <c r="R11" s="33"/>
    </row>
    <row r="12" spans="1:18">
      <c r="A12" s="33" t="s">
        <v>255</v>
      </c>
      <c r="B12" s="38">
        <f t="shared" si="0"/>
        <v>0</v>
      </c>
      <c r="C12" s="34"/>
      <c r="D12" s="38">
        <f>IF(ISERROR(TER_rest_gas_kWh/1000),0,TER_rest_gas_kWh/1000)*0.902</f>
        <v>4285.365448487004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13126.724</v>
      </c>
      <c r="C16" s="22">
        <f t="shared" ca="1" si="1"/>
        <v>0</v>
      </c>
      <c r="D16" s="22">
        <f t="shared" ca="1" si="1"/>
        <v>13416.380029676695</v>
      </c>
      <c r="E16" s="22">
        <f t="shared" si="1"/>
        <v>128.00532429435134</v>
      </c>
      <c r="F16" s="22">
        <f t="shared" ca="1" si="1"/>
        <v>2872.5933813050988</v>
      </c>
      <c r="G16" s="22">
        <f t="shared" si="1"/>
        <v>0</v>
      </c>
      <c r="H16" s="22">
        <f t="shared" si="1"/>
        <v>0</v>
      </c>
      <c r="I16" s="22">
        <f t="shared" si="1"/>
        <v>0</v>
      </c>
      <c r="J16" s="22">
        <f t="shared" si="1"/>
        <v>0</v>
      </c>
      <c r="K16" s="22">
        <f t="shared" si="1"/>
        <v>0</v>
      </c>
      <c r="L16" s="22">
        <f t="shared" ca="1" si="1"/>
        <v>0</v>
      </c>
      <c r="M16" s="22">
        <f t="shared" si="1"/>
        <v>0</v>
      </c>
      <c r="N16" s="22">
        <f t="shared" ca="1" si="1"/>
        <v>1329.4977509153248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0.20018048551525958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2627.7139835448102</v>
      </c>
      <c r="C20" s="24">
        <f t="shared" ref="C20:P20" ca="1" si="2">C16*C18</f>
        <v>0</v>
      </c>
      <c r="D20" s="24">
        <f t="shared" ca="1" si="2"/>
        <v>2710.1087659946925</v>
      </c>
      <c r="E20" s="24">
        <f t="shared" si="2"/>
        <v>29.057208614817753</v>
      </c>
      <c r="F20" s="24">
        <f t="shared" ca="1" si="2"/>
        <v>766.98243280846145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3249.1320000000001</v>
      </c>
      <c r="C26" s="40">
        <f>IF(ISERROR(B26*3.6/1000000/'E Balans VL '!Z12*100),0,B26*3.6/1000000/'E Balans VL '!Z12*100)</f>
        <v>6.9041724946577718E-2</v>
      </c>
      <c r="D26" s="236" t="s">
        <v>691</v>
      </c>
      <c r="F26" s="6"/>
    </row>
    <row r="27" spans="1:18">
      <c r="A27" s="231" t="s">
        <v>52</v>
      </c>
      <c r="B27" s="34">
        <f>IF(ISERROR(TER_horeca_ele_kWh/1000),0,TER_horeca_ele_kWh/1000)</f>
        <v>1505.136</v>
      </c>
      <c r="C27" s="40">
        <f>IF(ISERROR(B27*3.6/1000000/'E Balans VL '!Z9*100),0,B27*3.6/1000000/'E Balans VL '!Z9*100)</f>
        <v>0.1184658423662129</v>
      </c>
      <c r="D27" s="236" t="s">
        <v>691</v>
      </c>
      <c r="F27" s="6"/>
    </row>
    <row r="28" spans="1:18">
      <c r="A28" s="171" t="s">
        <v>51</v>
      </c>
      <c r="B28" s="34">
        <f>IF(ISERROR(TER_handel_ele_kWh/1000),0,TER_handel_ele_kWh/1000)</f>
        <v>4634.5730000000003</v>
      </c>
      <c r="C28" s="40">
        <f>IF(ISERROR(B28*3.6/1000000/'E Balans VL '!Z13*100),0,B28*3.6/1000000/'E Balans VL '!Z13*100)</f>
        <v>0.12981687005554707</v>
      </c>
      <c r="D28" s="236" t="s">
        <v>691</v>
      </c>
      <c r="F28" s="6"/>
    </row>
    <row r="29" spans="1:18">
      <c r="A29" s="231" t="s">
        <v>50</v>
      </c>
      <c r="B29" s="34">
        <f>IF(ISERROR(TER_gezond_ele_kWh/1000),0,TER_gezond_ele_kWh/1000)</f>
        <v>814.78800000000001</v>
      </c>
      <c r="C29" s="40">
        <f>IF(ISERROR(B29*3.6/1000000/'E Balans VL '!Z10*100),0,B29*3.6/1000000/'E Balans VL '!Z10*100)</f>
        <v>0.10423602339683161</v>
      </c>
      <c r="D29" s="236" t="s">
        <v>691</v>
      </c>
      <c r="F29" s="6"/>
    </row>
    <row r="30" spans="1:18">
      <c r="A30" s="231" t="s">
        <v>49</v>
      </c>
      <c r="B30" s="34">
        <f>IF(ISERROR(TER_ander_ele_kWh/1000),0,TER_ander_ele_kWh/1000)</f>
        <v>2247.3359999999998</v>
      </c>
      <c r="C30" s="40">
        <f>IF(ISERROR(B30*3.6/1000000/'E Balans VL '!Z14*100),0,B30*3.6/1000000/'E Balans VL '!Z14*100)</f>
        <v>0.16808179641606616</v>
      </c>
      <c r="D30" s="236" t="s">
        <v>691</v>
      </c>
      <c r="F30" s="6"/>
    </row>
    <row r="31" spans="1:18">
      <c r="A31" s="231" t="s">
        <v>54</v>
      </c>
      <c r="B31" s="34">
        <f>IF(ISERROR(TER_onderwijs_ele_kWh/1000),0,TER_onderwijs_ele_kWh/1000)</f>
        <v>675.75900000000001</v>
      </c>
      <c r="C31" s="40">
        <f>IF(ISERROR(B31*3.6/1000000/'E Balans VL '!Z11*100),0,B31*3.6/1000000/'E Balans VL '!Z11*100)</f>
        <v>0.14268738818164536</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25736.578000000001</v>
      </c>
      <c r="C5" s="18">
        <f>IF(ISERROR('Eigen informatie GS &amp; warmtenet'!B59),0,'Eigen informatie GS &amp; warmtenet'!B59)</f>
        <v>0</v>
      </c>
      <c r="D5" s="31">
        <f>SUM(D6:D15)</f>
        <v>3107.7206675218436</v>
      </c>
      <c r="E5" s="18">
        <f>SUM(E6:E15)</f>
        <v>217.78654629529993</v>
      </c>
      <c r="F5" s="18">
        <f>SUM(F6:F15)</f>
        <v>15788.396351451369</v>
      </c>
      <c r="G5" s="19"/>
      <c r="H5" s="18"/>
      <c r="I5" s="18"/>
      <c r="J5" s="18">
        <f>SUM(J6:J15)</f>
        <v>25.885101167523796</v>
      </c>
      <c r="K5" s="18"/>
      <c r="L5" s="18"/>
      <c r="M5" s="18"/>
      <c r="N5" s="18">
        <f>SUM(N6:N15)</f>
        <v>2112.2239127216039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1453.8409999999999</v>
      </c>
      <c r="C8" s="34"/>
      <c r="D8" s="38">
        <f>IF( ISERROR(IND_metaal_Gas_kWH/1000),0,IND_metaal_Gas_kWH/1000)*0.902</f>
        <v>103.04637572837136</v>
      </c>
      <c r="E8" s="34">
        <f>C30*'E Balans VL '!I18/100/3.6*1000000</f>
        <v>13.239867986890417</v>
      </c>
      <c r="F8" s="34">
        <f>C30*'E Balans VL '!L18/100/3.6*1000000+C30*'E Balans VL '!N18/100/3.6*1000000</f>
        <v>191.75058724181673</v>
      </c>
      <c r="G8" s="35"/>
      <c r="H8" s="34"/>
      <c r="I8" s="34"/>
      <c r="J8" s="41">
        <f>C30*'E Balans VL '!D18/100/3.6*1000000+C30*'E Balans VL '!E18/100/3.6*1000000</f>
        <v>23.84088149887927</v>
      </c>
      <c r="K8" s="34"/>
      <c r="L8" s="34"/>
      <c r="M8" s="34"/>
      <c r="N8" s="34">
        <f>C30*'E Balans VL '!Y18/100/3.6*1000000</f>
        <v>4.9962739801442426</v>
      </c>
      <c r="O8" s="34"/>
      <c r="P8" s="34"/>
      <c r="R8" s="33"/>
    </row>
    <row r="9" spans="1:18">
      <c r="A9" s="6" t="s">
        <v>32</v>
      </c>
      <c r="B9" s="38">
        <f t="shared" si="0"/>
        <v>18703.59</v>
      </c>
      <c r="C9" s="34"/>
      <c r="D9" s="38">
        <f>IF( ISERROR(IND_andere_gas_kWh/1000),0,IND_andere_gas_kWh/1000)*0.902</f>
        <v>1136.4548312340387</v>
      </c>
      <c r="E9" s="34">
        <f>C31*'E Balans VL '!I19/100/3.6*1000000</f>
        <v>108.10954522034105</v>
      </c>
      <c r="F9" s="34">
        <f>C31*'E Balans VL '!L19/100/3.6*1000000+C31*'E Balans VL '!N19/100/3.6*1000000</f>
        <v>14879.60582613724</v>
      </c>
      <c r="G9" s="35"/>
      <c r="H9" s="34"/>
      <c r="I9" s="34"/>
      <c r="J9" s="41">
        <f>C31*'E Balans VL '!D19/100/3.6*1000000+C31*'E Balans VL '!E19/100/3.6*1000000</f>
        <v>1.7691518604066507</v>
      </c>
      <c r="K9" s="34"/>
      <c r="L9" s="34"/>
      <c r="M9" s="34"/>
      <c r="N9" s="34">
        <f>C31*'E Balans VL '!Y19/100/3.6*1000000</f>
        <v>1417.0799896741571</v>
      </c>
      <c r="O9" s="34"/>
      <c r="P9" s="34"/>
      <c r="R9" s="33"/>
    </row>
    <row r="10" spans="1:18">
      <c r="A10" s="6" t="s">
        <v>40</v>
      </c>
      <c r="B10" s="38">
        <f t="shared" si="0"/>
        <v>3809.509</v>
      </c>
      <c r="C10" s="34"/>
      <c r="D10" s="38">
        <f>IF( ISERROR(IND_voed_gas_kWh/1000),0,IND_voed_gas_kWh/1000)*0.902</f>
        <v>444.44518865493961</v>
      </c>
      <c r="E10" s="34">
        <f>C32*'E Balans VL '!I20/100/3.6*1000000</f>
        <v>37.457439721978744</v>
      </c>
      <c r="F10" s="34">
        <f>C32*'E Balans VL '!L20/100/3.6*1000000+C32*'E Balans VL '!N20/100/3.6*1000000</f>
        <v>423.09569861628347</v>
      </c>
      <c r="G10" s="35"/>
      <c r="H10" s="34"/>
      <c r="I10" s="34"/>
      <c r="J10" s="41">
        <f>C32*'E Balans VL '!D20/100/3.6*1000000+C32*'E Balans VL '!E20/100/3.6*1000000</f>
        <v>1.5015004382023234E-2</v>
      </c>
      <c r="K10" s="34"/>
      <c r="L10" s="34"/>
      <c r="M10" s="34"/>
      <c r="N10" s="34">
        <f>C32*'E Balans VL '!Y20/100/3.6*1000000</f>
        <v>56.409867380282883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1717.925</v>
      </c>
      <c r="C13" s="34"/>
      <c r="D13" s="38">
        <f>IF( ISERROR(IND_papier_gas_kWh/1000),0,IND_papier_gas_kWh/1000)*0.902</f>
        <v>0</v>
      </c>
      <c r="E13" s="34">
        <f>C35*'E Balans VL '!I23/100/3.6*1000000</f>
        <v>58.515016330211587</v>
      </c>
      <c r="F13" s="34">
        <f>C35*'E Balans VL '!L23/100/3.6*1000000+C35*'E Balans VL '!N23/100/3.6*1000000</f>
        <v>283.7608911681358</v>
      </c>
      <c r="G13" s="35"/>
      <c r="H13" s="34"/>
      <c r="I13" s="34"/>
      <c r="J13" s="41">
        <f>C35*'E Balans VL '!D23/100/3.6*1000000+C35*'E Balans VL '!E23/100/3.6*1000000</f>
        <v>0</v>
      </c>
      <c r="K13" s="34"/>
      <c r="L13" s="34"/>
      <c r="M13" s="34"/>
      <c r="N13" s="34">
        <f>C35*'E Balans VL '!Y23/100/3.6*1000000</f>
        <v>632.15032882294008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51.713000000000001</v>
      </c>
      <c r="C15" s="34"/>
      <c r="D15" s="38">
        <f>IF( ISERROR(IND_rest_gas_kWh/1000),0,IND_rest_gas_kWh/1000)*0.902</f>
        <v>1423.7742719044938</v>
      </c>
      <c r="E15" s="34">
        <f>C37*'E Balans VL '!I15/100/3.6*1000000</f>
        <v>0.46467703587814035</v>
      </c>
      <c r="F15" s="34">
        <f>C37*'E Balans VL '!L15/100/3.6*1000000+C37*'E Balans VL '!N15/100/3.6*1000000</f>
        <v>10.183348287891592</v>
      </c>
      <c r="G15" s="35"/>
      <c r="H15" s="34"/>
      <c r="I15" s="34"/>
      <c r="J15" s="41">
        <f>C37*'E Balans VL '!D15/100/3.6*1000000+C37*'E Balans VL '!E15/100/3.6*1000000</f>
        <v>0.26005280385585167</v>
      </c>
      <c r="K15" s="34"/>
      <c r="L15" s="34"/>
      <c r="M15" s="34"/>
      <c r="N15" s="34">
        <f>C37*'E Balans VL '!Y15/100/3.6*1000000</f>
        <v>1.5874528640795456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25736.578000000001</v>
      </c>
      <c r="C18" s="22">
        <f>C5+C16</f>
        <v>0</v>
      </c>
      <c r="D18" s="22">
        <f>MAX((D5+D16),0)</f>
        <v>3107.7206675218436</v>
      </c>
      <c r="E18" s="22">
        <f>MAX((E5+E16),0)</f>
        <v>217.78654629529993</v>
      </c>
      <c r="F18" s="22">
        <f>MAX((F5+F16),0)</f>
        <v>15788.396351451369</v>
      </c>
      <c r="G18" s="22"/>
      <c r="H18" s="22"/>
      <c r="I18" s="22"/>
      <c r="J18" s="22">
        <f>MAX((J5+J16),0)</f>
        <v>25.885101167523796</v>
      </c>
      <c r="K18" s="22"/>
      <c r="L18" s="22">
        <f>MAX((L5+L16),0)</f>
        <v>0</v>
      </c>
      <c r="M18" s="22"/>
      <c r="N18" s="22">
        <f>MAX((N5+N16),0)</f>
        <v>2112.2239127216039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0.20018048551525958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5151.9606795413483</v>
      </c>
      <c r="C22" s="24">
        <f ca="1">C18*C20</f>
        <v>0</v>
      </c>
      <c r="D22" s="24">
        <f>D18*D20</f>
        <v>627.75957483941249</v>
      </c>
      <c r="E22" s="24">
        <f>E18*E20</f>
        <v>49.437546009033085</v>
      </c>
      <c r="F22" s="24">
        <f>F18*F20</f>
        <v>4215.5018258375158</v>
      </c>
      <c r="G22" s="24"/>
      <c r="H22" s="24"/>
      <c r="I22" s="24"/>
      <c r="J22" s="24">
        <f>J18*J20</f>
        <v>9.1633258133034232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1453.8409999999999</v>
      </c>
      <c r="C30" s="40">
        <f>IF(ISERROR(B30*3.6/1000000/'E Balans VL '!Z18*100),0,B30*3.6/1000000/'E Balans VL '!Z18*100)</f>
        <v>8.0896529898643085E-2</v>
      </c>
      <c r="D30" s="236" t="s">
        <v>691</v>
      </c>
    </row>
    <row r="31" spans="1:18">
      <c r="A31" s="6" t="s">
        <v>32</v>
      </c>
      <c r="B31" s="38">
        <f>IF( ISERROR(IND_ander_ele_kWh/1000),0,IND_ander_ele_kWh/1000)</f>
        <v>18703.59</v>
      </c>
      <c r="C31" s="40">
        <f>IF(ISERROR(B31*3.6/1000000/'E Balans VL '!Z19*100),0,B31*3.6/1000000/'E Balans VL '!Z19*100)</f>
        <v>0.86948077781077737</v>
      </c>
      <c r="D31" s="236" t="s">
        <v>691</v>
      </c>
    </row>
    <row r="32" spans="1:18">
      <c r="A32" s="171" t="s">
        <v>40</v>
      </c>
      <c r="B32" s="38">
        <f>IF( ISERROR(IND_voed_ele_kWh/1000),0,IND_voed_ele_kWh/1000)</f>
        <v>3809.509</v>
      </c>
      <c r="C32" s="40">
        <f>IF(ISERROR(B32*3.6/1000000/'E Balans VL '!Z20*100),0,B32*3.6/1000000/'E Balans VL '!Z20*100)</f>
        <v>0.13465844952074593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1717.925</v>
      </c>
      <c r="C35" s="40">
        <f>IF(ISERROR(B35*3.6/1000000/'E Balans VL '!Z22*100),0,B35*3.6/1000000/'E Balans VL '!Z22*100)</f>
        <v>0.34525448115163182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51.713000000000001</v>
      </c>
      <c r="C37" s="40">
        <f>IF(ISERROR(B37*3.6/1000000/'E Balans VL '!Z15*100),0,B37*3.6/1000000/'E Balans VL '!Z15*100)</f>
        <v>3.9050954165256133E-4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2953.9029999999998</v>
      </c>
      <c r="C5" s="18">
        <f>'Eigen informatie GS &amp; warmtenet'!B60</f>
        <v>0</v>
      </c>
      <c r="D5" s="31">
        <f>IF(ISERROR(SUM(LB_lb_gas_kWh,LB_rest_gas_kWh)/1000),0,SUM(LB_lb_gas_kWh,LB_rest_gas_kWh)/1000)*0.902</f>
        <v>174.91369464095754</v>
      </c>
      <c r="E5" s="18">
        <f>B17*'E Balans VL '!I25/3.6*1000000/100</f>
        <v>27.827745439933231</v>
      </c>
      <c r="F5" s="18">
        <f>B17*('E Balans VL '!L25/3.6*1000000+'E Balans VL '!N25/3.6*1000000)/100</f>
        <v>9639.5658033112995</v>
      </c>
      <c r="G5" s="19"/>
      <c r="H5" s="18"/>
      <c r="I5" s="18"/>
      <c r="J5" s="18">
        <f>('E Balans VL '!D25+'E Balans VL '!E25)/3.6*1000000*landbouw!B17/100</f>
        <v>365.41216888143208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2953.9029999999998</v>
      </c>
      <c r="C8" s="22">
        <f>C5+C6</f>
        <v>0</v>
      </c>
      <c r="D8" s="22">
        <f>MAX((D5+D6),0)</f>
        <v>174.91369464095754</v>
      </c>
      <c r="E8" s="22">
        <f>MAX((E5+E6),0)</f>
        <v>27.827745439933231</v>
      </c>
      <c r="F8" s="22">
        <f>MAX((F5+F6),0)</f>
        <v>9639.5658033112995</v>
      </c>
      <c r="G8" s="22"/>
      <c r="H8" s="22"/>
      <c r="I8" s="22"/>
      <c r="J8" s="22">
        <f>MAX((J5+J6),0)</f>
        <v>365.41216888143208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0.20018048551525958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591.31373670498181</v>
      </c>
      <c r="C12" s="24">
        <f ca="1">C8*C10</f>
        <v>0</v>
      </c>
      <c r="D12" s="24">
        <f>D8*D10</f>
        <v>35.332566317473429</v>
      </c>
      <c r="E12" s="24">
        <f>E8*E10</f>
        <v>6.3168982148648434</v>
      </c>
      <c r="F12" s="24">
        <f>F8*F10</f>
        <v>2573.764069484117</v>
      </c>
      <c r="G12" s="24"/>
      <c r="H12" s="24"/>
      <c r="I12" s="24"/>
      <c r="J12" s="24">
        <f>J8*J10</f>
        <v>129.35590778402695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0.39991126433896046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746.7408952036061</v>
      </c>
      <c r="C26" s="246">
        <f>B26*'GWP N2O_CH4'!B5</f>
        <v>15681.558799275728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266.48757452196571</v>
      </c>
      <c r="C27" s="246">
        <f>B27*'GWP N2O_CH4'!B5</f>
        <v>5596.2390649612798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10.146616433490999</v>
      </c>
      <c r="C28" s="246">
        <f>B28*'GWP N2O_CH4'!B4</f>
        <v>3145.4510943822097</v>
      </c>
      <c r="D28" s="51"/>
    </row>
    <row r="29" spans="1:4">
      <c r="A29" s="42" t="s">
        <v>272</v>
      </c>
      <c r="B29" s="246">
        <f>B34*'ha_N2O bodem landbouw'!B4</f>
        <v>14.781177809096452</v>
      </c>
      <c r="C29" s="246">
        <f>B29*'GWP N2O_CH4'!B4</f>
        <v>4582.1651208199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3.990452693034427E-3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9.7514361100052629E-6</v>
      </c>
      <c r="C5" s="435" t="s">
        <v>210</v>
      </c>
      <c r="D5" s="420">
        <f>SUM(D6:D11)</f>
        <v>1.4808107152703793E-5</v>
      </c>
      <c r="E5" s="420">
        <f>SUM(E6:E11)</f>
        <v>9.2883912014954731E-4</v>
      </c>
      <c r="F5" s="433" t="s">
        <v>210</v>
      </c>
      <c r="G5" s="420">
        <f>SUM(G6:G11)</f>
        <v>0.16715364749632822</v>
      </c>
      <c r="H5" s="420">
        <f>SUM(H6:H11)</f>
        <v>3.5057335084130503E-2</v>
      </c>
      <c r="I5" s="435" t="s">
        <v>210</v>
      </c>
      <c r="J5" s="435" t="s">
        <v>210</v>
      </c>
      <c r="K5" s="435" t="s">
        <v>210</v>
      </c>
      <c r="L5" s="435" t="s">
        <v>210</v>
      </c>
      <c r="M5" s="420">
        <f>SUM(M6:M11)</f>
        <v>9.0434339637554522E-3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4.6854375054084588E-6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5.4570422527755315E-6</v>
      </c>
      <c r="E6" s="423">
        <f>vkm_GW_PW*SUMIFS(TableVerdeelsleutelVkm[LPG],TableVerdeelsleutelVkm[Voertuigtype],"Lichte voertuigen")*SUMIFS(TableECFTransport[EnergieConsumptieFactor (PJ per km)],TableECFTransport[Index],CONCATENATE($A6,"_LPG_LPG"))</f>
        <v>3.5403887836403541E-4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5.5236721298484552E-2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1.3312041093571987E-2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3.0675615812593739E-3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9.2682247441096144E-8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1.533168911729579E-2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4.1140385251684663E-7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6.8221015092899005E-4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4.9159931799087833E-6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9.3510648999282617E-6</v>
      </c>
      <c r="E8" s="423">
        <f>vkm_NGW_PW*SUMIFS(TableVerdeelsleutelVkm[LPG],TableVerdeelsleutelVkm[Voertuigtype],"Lichte voertuigen")*SUMIFS(TableECFTransport[EnergieConsumptieFactor (PJ per km)],TableECFTransport[Index],CONCATENATE($A8,"_LPG_LPG"))</f>
        <v>5.7480024178551195E-4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8.442537282464524E-2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2.1744575459352079E-2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4.752588817778073E-3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5.732317724692366E-8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1.215986425590266E-2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3.0712735392674431E-7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5.4107341378901465E-4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2.7087322527792397</v>
      </c>
      <c r="C14" s="22"/>
      <c r="D14" s="22">
        <f t="shared" ref="D14:M14" si="0">((D5)*10^9/3600)+D12</f>
        <v>4.1133630979732763</v>
      </c>
      <c r="E14" s="22">
        <f t="shared" si="0"/>
        <v>258.01086670820757</v>
      </c>
      <c r="F14" s="22"/>
      <c r="G14" s="22">
        <f t="shared" si="0"/>
        <v>46431.568748980055</v>
      </c>
      <c r="H14" s="22">
        <f t="shared" si="0"/>
        <v>9738.1486344806945</v>
      </c>
      <c r="I14" s="22"/>
      <c r="J14" s="22"/>
      <c r="K14" s="22"/>
      <c r="L14" s="22"/>
      <c r="M14" s="22">
        <f t="shared" si="0"/>
        <v>2512.0649899320701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0.20018048551525958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0.54223533749219099</v>
      </c>
      <c r="C18" s="24"/>
      <c r="D18" s="24">
        <f t="shared" ref="D18:M18" si="1">D14*D16</f>
        <v>0.83089934579060187</v>
      </c>
      <c r="E18" s="24">
        <f t="shared" si="1"/>
        <v>58.568466742763121</v>
      </c>
      <c r="F18" s="24"/>
      <c r="G18" s="24">
        <f t="shared" si="1"/>
        <v>12397.228855977675</v>
      </c>
      <c r="H18" s="24">
        <f t="shared" si="1"/>
        <v>2424.7990099856929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1.1035158749064772E-5</v>
      </c>
      <c r="C50" s="316">
        <f t="shared" ref="C50:P50" si="2">SUM(C51:C52)</f>
        <v>0</v>
      </c>
      <c r="D50" s="316">
        <f t="shared" si="2"/>
        <v>0</v>
      </c>
      <c r="E50" s="316">
        <f t="shared" si="2"/>
        <v>0</v>
      </c>
      <c r="F50" s="316">
        <f t="shared" si="2"/>
        <v>0</v>
      </c>
      <c r="G50" s="316">
        <f t="shared" si="2"/>
        <v>2.2009841690375674E-3</v>
      </c>
      <c r="H50" s="316">
        <f t="shared" si="2"/>
        <v>0</v>
      </c>
      <c r="I50" s="316">
        <f t="shared" si="2"/>
        <v>0</v>
      </c>
      <c r="J50" s="316">
        <f t="shared" si="2"/>
        <v>0</v>
      </c>
      <c r="K50" s="316">
        <f t="shared" si="2"/>
        <v>0</v>
      </c>
      <c r="L50" s="316">
        <f t="shared" si="2"/>
        <v>0</v>
      </c>
      <c r="M50" s="316">
        <f t="shared" si="2"/>
        <v>9.72811560917332E-5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1.1035158749064772E-5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2.2009841690375674E-3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9.72811560917332E-5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3.0653218747402144</v>
      </c>
      <c r="C54" s="22">
        <f t="shared" ref="C54:P54" si="3">(C50)*10^9/3600</f>
        <v>0</v>
      </c>
      <c r="D54" s="22">
        <f t="shared" si="3"/>
        <v>0</v>
      </c>
      <c r="E54" s="22">
        <f t="shared" si="3"/>
        <v>0</v>
      </c>
      <c r="F54" s="22">
        <f t="shared" si="3"/>
        <v>0</v>
      </c>
      <c r="G54" s="22">
        <f t="shared" si="3"/>
        <v>611.38449139932425</v>
      </c>
      <c r="H54" s="22">
        <f t="shared" si="3"/>
        <v>0</v>
      </c>
      <c r="I54" s="22">
        <f t="shared" si="3"/>
        <v>0</v>
      </c>
      <c r="J54" s="22">
        <f t="shared" si="3"/>
        <v>0</v>
      </c>
      <c r="K54" s="22">
        <f t="shared" si="3"/>
        <v>0</v>
      </c>
      <c r="L54" s="22">
        <f t="shared" si="3"/>
        <v>0</v>
      </c>
      <c r="M54" s="22">
        <f t="shared" si="3"/>
        <v>27.022543358814776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0.20018048551525958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0.61361762114604179</v>
      </c>
      <c r="C58" s="24">
        <f t="shared" ref="C58:P58" ca="1" si="4">C54*C56</f>
        <v>0</v>
      </c>
      <c r="D58" s="24">
        <f t="shared" si="4"/>
        <v>0</v>
      </c>
      <c r="E58" s="24">
        <f t="shared" si="4"/>
        <v>0</v>
      </c>
      <c r="F58" s="24">
        <f t="shared" si="4"/>
        <v>0</v>
      </c>
      <c r="G58" s="24">
        <f t="shared" si="4"/>
        <v>163.2396592036196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3393.7085912764041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4482.2764922171918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7875.985083493596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2021-06-29T16:36:39Z</dcterms:modified>
</cp:coreProperties>
</file>