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<sst xmlns="http://schemas.openxmlformats.org/spreadsheetml/2006/main" count="2581" uniqueCount="983">
  <si>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</si>
  <si>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</si>
  <si>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</si>
  <si>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</si>
  <si>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</si>
  <si>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</si>
  <si>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</si>
  <si>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</si>
  <si>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</si>
  <si>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</si>
  <si>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</si>
  <si>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</si>
  <si>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</si>
  <si>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</si>
  <si>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</si>
  <si>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</si>
  <si>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</si>
  <si>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</si>
  <si>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</si>
  <si>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</si>
  <si>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</si>
  <si>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</si>
  <si>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</si>
  <si>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</si>
  <si>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</si>
  <si>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</si>
  <si>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</si>
  <si>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</si>
  <si>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</si>
  <si>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</si>
  <si>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</si>
  <si>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</si>
  <si>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</si>
  <si>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</si>
  <si>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</si>
  <si>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</si>
  <si>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</si>
  <si>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</si>
  <si>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</si>
  <si>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</si>
  <si>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</si>
  <si>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</si>
  <si>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</si>
  <si>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</si>
  <si>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</si>
  <si>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</si>
  <si>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</si>
  <si>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</si>
  <si>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</si>
  <si>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</si>
  <si>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</si>
  <si>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</si>
  <si>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</si>
  <si>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</si>
  <si>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</si>
  <si>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</si>
  <si>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</si>
  <si>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</si>
  <si>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</si>
  <si>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</si>
  <si>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</si>
  <si>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</si>
  <si>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</si>
  <si>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</si>
  <si>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</si>
  <si>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</si>
  <si>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</si>
  <si>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</si>
  <si>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</si>
  <si>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</si>
  <si>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</si>
  <si>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</si>
  <si>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</si>
  <si>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</si>
  <si>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</si>
  <si>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</si>
  <si>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</si>
  <si>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</si>
  <si>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</si>
  <si>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</si>
  <si>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</si>
  <si>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</si>
  <si>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</si>
  <si>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</si>
  <si>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</si>
  <si>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</si>
  <si>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</si>
  <si>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</si>
  <si>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</si>
  <si>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</si>
  <si>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</si>
  <si>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</si>
  <si>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</si>
  <si>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</si>
  <si>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</si>
  <si>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</si>
  <si>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</si>
  <si>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</si>
  <si>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</si>
  <si>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</si>
  <si>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</si>
  <si>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</si>
  <si>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</si>
  <si>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</si>
  <si>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</si>
  <si>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</si>
  <si>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</si>
  <si>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</si>
  <si>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</si>
  <si>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</si>
  <si>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</si>
  <si>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</si>
  <si>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</si>
  <si>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</si>
  <si>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</si>
  <si>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</si>
  <si>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</si>
  <si>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</si>
  <si>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</si>
  <si>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</si>
  <si>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</si>
  <si>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</si>
  <si>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</si>
  <si>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</si>
  <si>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</si>
  <si>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</si>
  <si>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</si>
  <si>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</si>
  <si>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</si>
  <si>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</si>
  <si>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</si>
  <si>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</si>
  <si>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</si>
  <si>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</si>
  <si>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</si>
  <si>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</si>
  <si>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</si>
  <si>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</si>
  <si>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</si>
  <si>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</si>
  <si>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</si>
  <si>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</si>
  <si>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</si>
  <si>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</si>
  <si>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</si>
  <si>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</si>
  <si>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</si>
  <si>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</si>
  <si>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</si>
  <si>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</si>
  <si>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</si>
  <si>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</si>
  <si>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</si>
  <si>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</si>
  <si>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</si>
  <si>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</si>
  <si>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</si>
  <si>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</si>
  <si>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</si>
  <si>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</si>
  <si>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</si>
  <si>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</si>
  <si>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</si>
  <si>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</si>
  <si>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</si>
  <si>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</si>
  <si>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</si>
  <si>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</si>
  <si>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</si>
  <si>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</si>
  <si>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</si>
  <si>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</si>
  <si>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</si>
  <si>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</si>
  <si>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</si>
  <si>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</si>
  <si>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</si>
  <si>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</si>
  <si>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</si>
  <si>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</si>
  <si>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</si>
  <si>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</si>
  <si>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</si>
  <si>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</si>
  <si>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</si>
  <si>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</si>
  <si>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</si>
  <si>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</si>
  <si>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</si>
  <si>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</si>
  <si>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</si>
  <si>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</si>
  <si>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</si>
  <si>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</si>
  <si>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</si>
  <si>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</si>
  <si>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</si>
  <si>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</si>
  <si>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</si>
  <si>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</si>
  <si>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</si>
  <si>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</si>
  <si>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</si>
  <si>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</si>
  <si>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</si>
  <si>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</si>
  <si>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</si>
  <si>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</si>
  <si>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</si>
  <si>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</si>
  <si>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</si>
  <si>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</si>
  <si>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</si>
  <si>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</si>
  <si>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</si>
  <si>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</si>
  <si>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</si>
  <si>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</si>
  <si>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</si>
  <si>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</si>
  <si>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</si>
  <si>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</si>
  <si>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</si>
  <si>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</si>
  <si>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</si>
  <si>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</si>
  <si>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</si>
  <si>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</si>
  <si>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</si>
  <si>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</si>
  <si>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</si>
  <si>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</si>
  <si>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</si>
  <si>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</si>
  <si>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</si>
  <si>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</si>
  <si>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</si>
  <si>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</si>
  <si>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</si>
  <si>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</si>
  <si>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</si>
  <si>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</si>
  <si>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</si>
  <si>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</si>
  <si>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</si>
  <si>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</si>
  <si>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</si>
  <si>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</si>
  <si>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</si>
  <si>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</si>
  <si>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</si>
  <si>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</si>
  <si>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</si>
  <si>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</si>
  <si>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</si>
  <si>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</si>
  <si>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</si>
  <si>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</si>
  <si>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</si>
  <si>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</si>
  <si>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</si>
  <si>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</si>
  <si>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</si>
  <si>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</si>
  <si>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</si>
  <si>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</si>
  <si>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</si>
  <si>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</si>
  <si>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</si>
  <si>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</si>
  <si>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</si>
  <si>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</si>
  <si>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</si>
  <si>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</si>
  <si>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</si>
  <si>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</si>
  <si>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</si>
  <si>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</si>
  <si>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</si>
  <si>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</si>
  <si>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</si>
  <si>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</si>
  <si>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</si>
  <si>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</si>
  <si>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</si>
  <si>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</si>
  <si>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</si>
  <si>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</si>
  <si>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</si>
  <si>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</si>
  <si>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</si>
  <si>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</si>
  <si>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</si>
  <si>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</si>
  <si>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</si>
  <si>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</si>
  <si>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</si>
  <si>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</si>
  <si>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</si>
  <si>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</si>
  <si>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</si>
  <si>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</si>
  <si>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</si>
  <si>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</si>
  <si>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</si>
  <si>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</si>
  <si>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</si>
  <si>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</si>
  <si>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</si>
  <si>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</si>
  <si>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</si>
  <si>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</si>
  <si>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</si>
  <si>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</si>
  <si>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</si>
  <si>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</si>
  <si>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</si>
  <si>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</si>
  <si>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</si>
  <si>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</si>
  <si>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</si>
  <si>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</si>
  <si>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</si>
  <si>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</si>
  <si>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</si>
  <si>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</si>
  <si>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</si>
  <si>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</si>
  <si>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</si>
  <si>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</si>
  <si>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</si>
  <si>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</si>
  <si>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</si>
  <si>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</si>
  <si>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</si>
  <si>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</si>
  <si>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</si>
  <si>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</si>
  <si>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</si>
  <si>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</si>
  <si>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</si>
  <si>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</si>
  <si>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</si>
  <si>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</si>
  <si>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</si>
  <si>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</si>
  <si>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</si>
  <si>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</si>
  <si>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</si>
  <si>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</si>
  <si>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</si>
  <si>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</si>
  <si>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</si>
  <si>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</si>
  <si>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</si>
  <si>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</si>
  <si>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</si>
  <si>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</si>
  <si>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</si>
  <si>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</si>
  <si>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</si>
  <si>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</si>
  <si>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</si>
  <si>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</si>
  <si>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</si>
  <si>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</si>
  <si>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</si>
  <si>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</si>
  <si>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</si>
  <si>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</si>
  <si>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</si>
  <si>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</si>
  <si>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</si>
  <si>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</si>
  <si>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</si>
  <si>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</si>
  <si>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</si>
  <si>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</si>
  <si>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</si>
  <si>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</si>
  <si>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</si>
  <si>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</si>
  <si>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</si>
  <si>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</si>
  <si>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</si>
  <si>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</si>
  <si>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</si>
  <si>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</si>
  <si>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</si>
  <si>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</si>
  <si>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</si>
  <si>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</si>
  <si>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</si>
  <si>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</si>
  <si>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</si>
  <si>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</si>
  <si>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</si>
  <si>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</si>
  <si>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</si>
  <si>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</si>
  <si>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</si>
  <si>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</si>
  <si>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</si>
  <si>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</si>
  <si>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</si>
  <si>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</si>
  <si>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</si>
  <si>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</si>
  <si>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</si>
  <si>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</si>
  <si>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</si>
  <si>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</si>
  <si>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</si>
  <si>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</si>
  <si>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</si>
  <si>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</si>
  <si>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</si>
  <si>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</si>
  <si>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</si>
  <si>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</si>
  <si>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</si>
  <si>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</si>
  <si>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</si>
  <si>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</si>
  <si>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</si>
  <si>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</si>
  <si>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</si>
  <si>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</si>
  <si>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</si>
  <si>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</si>
  <si>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</si>
  <si>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</si>
  <si>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</si>
  <si>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</si>
  <si>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</si>
  <si>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</si>
  <si>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</si>
  <si>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</si>
  <si>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</si>
  <si>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</si>
  <si>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</si>
  <si>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</si>
  <si>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</si>
  <si>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</si>
  <si>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</si>
  <si>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</si>
  <si>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</si>
  <si>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</si>
  <si>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</si>
  <si>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</si>
  <si>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</si>
  <si>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</si>
  <si>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</si>
  <si>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</si>
  <si>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</si>
  <si>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</si>
  <si>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</si>
  <si>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</si>
  <si>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</si>
  <si>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</si>
  <si>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</si>
  <si>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</si>
  <si>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</si>
  <si>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</si>
  <si>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</si>
  <si>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</si>
  <si>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</si>
  <si>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</si>
  <si>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</si>
  <si>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</si>
  <si>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</si>
  <si>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</si>
  <si>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</si>
  <si>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</si>
  <si>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</si>
  <si>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</si>
  <si>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</si>
  <si>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</si>
  <si>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</si>
  <si>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</si>
  <si>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</si>
  <si>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</si>
  <si>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</si>
  <si>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</si>
  <si>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</si>
  <si>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</si>
  <si>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</si>
  <si>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</si>
  <si>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</si>
  <si>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</si>
  <si>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</si>
  <si>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</si>
  <si>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</si>
  <si>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</si>
  <si>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</si>
  <si>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</si>
  <si>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</si>
  <si>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</si>
  <si>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</si>
  <si>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</si>
  <si>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</si>
  <si>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</si>
  <si>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</si>
  <si>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</si>
  <si>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</si>
  <si>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</si>
  <si>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</si>
  <si>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</si>
  <si>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</si>
  <si>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</si>
  <si>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</si>
  <si>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</si>
  <si>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</si>
  <si>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</si>
  <si>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</si>
  <si>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</si>
  <si>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</si>
  <si>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</si>
  <si>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</si>
  <si>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</si>
  <si>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</si>
  <si>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</si>
  <si>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</si>
  <si>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</si>
  <si>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</si>
  <si>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</si>
  <si>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</si>
  <si>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</si>
  <si>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</si>
  <si>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</si>
  <si>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</si>
  <si>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</si>
  <si>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</si>
  <si>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</si>
  <si>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</si>
  <si>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</si>
  <si>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</si>
  <si>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</si>
  <si>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</si>
  <si>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</si>
  <si>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</si>
  <si>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</si>
  <si>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</si>
  <si>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</si>
  <si>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</si>
  <si>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</si>
  <si>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</si>
  <si>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</si>
  <si>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</si>
  <si>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</si>
  <si>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</si>
  <si>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</si>
  <si>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</si>
  <si>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</si>
  <si>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</si>
  <si>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</si>
  <si>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</si>
  <si>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</si>
  <si>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</si>
  <si>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</si>
  <si>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</si>
  <si>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</si>
  <si>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</si>
  <si>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</si>
  <si>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</si>
  <si>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</si>
  <si>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</si>
  <si>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</si>
  <si>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</si>
  <si>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</si>
  <si>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</si>
  <si>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</si>
  <si>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</si>
  <si>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</si>
  <si>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</si>
  <si>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</si>
  <si>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</si>
  <si>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</si>
  <si>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</si>
  <si>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</si>
  <si>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</si>
  <si>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</si>
  <si>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</si>
  <si>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</si>
  <si>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</si>
  <si>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</si>
  <si>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</si>
  <si>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</si>
  <si>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</si>
  <si>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</si>
  <si>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</si>
  <si>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</si>
  <si>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</si>
  <si>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</si>
  <si>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</si>
  <si>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</si>
  <si>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</si>
  <si>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</si>
  <si>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</si>
  <si>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</si>
  <si>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</si>
  <si>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</si>
  <si>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</si>
  <si>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</si>
  <si>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</si>
  <si>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</si>
  <si>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</si>
  <si>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</si>
  <si>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</si>
  <si>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</si>
  <si>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</si>
  <si>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</si>
  <si>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</si>
  <si>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</si>
  <si>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</si>
  <si>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</si>
  <si>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</si>
  <si>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</si>
  <si>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</si>
  <si>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</si>
  <si>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</si>
  <si>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</si>
  <si>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</si>
  <si>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</si>
  <si>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</si>
  <si>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</si>
  <si>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</si>
  <si>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</si>
  <si>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</si>
  <si>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</si>
  <si>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</si>
  <si>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</si>
  <si>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</si>
  <si>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</si>
  <si>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</si>
  <si>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</si>
  <si>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</si>
  <si>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</si>
  <si>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</si>
  <si>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</si>
  <si>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</si>
  <si>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</si>
  <si>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</si>
  <si>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</si>
  <si>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</si>
  <si>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</si>
  <si>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</si>
  <si>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</si>
  <si>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</si>
  <si>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</si>
  <si>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</si>
  <si>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</si>
  <si>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</si>
  <si>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</si>
  <si>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</si>
  <si>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</si>
  <si>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</si>
  <si>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</si>
  <si>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</si>
  <si>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</si>
  <si>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</si>
  <si>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</si>
  <si>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</si>
  <si>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</si>
  <si>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</si>
  <si>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</si>
  <si>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</si>
  <si>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</si>
  <si>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</si>
  <si>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</si>
  <si>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</si>
  <si>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</si>
  <si>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</si>
  <si>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</si>
  <si>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</si>
  <si>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</si>
  <si>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</si>
  <si>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</si>
  <si>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</si>
  <si>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</si>
  <si>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</si>
  <si>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</si>
  <si>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</si>
  <si>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</si>
  <si>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</si>
  <si>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</si>
  <si>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</si>
  <si>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</si>
  <si>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</si>
  <si>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</si>
  <si>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</si>
  <si>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</si>
  <si>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</si>
  <si>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</si>
  <si>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</si>
  <si>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</si>
  <si>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</si>
  <si>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</si>
  <si>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</si>
  <si>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</si>
  <si>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</si>
  <si>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</si>
  <si>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</si>
  <si>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</si>
  <si>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</si>
  <si>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</si>
  <si>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</si>
  <si>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</si>
  <si>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</si>
  <si>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</si>
  <si>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</si>
  <si>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</si>
  <si>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</si>
  <si>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</si>
  <si>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</si>
  <si>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</si>
  <si>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</si>
  <si>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</si>
  <si>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</si>
  <si>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</si>
  <si>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</si>
  <si>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</si>
  <si>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</si>
  <si>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</si>
  <si>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</si>
  <si>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</si>
  <si>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</si>
  <si>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</si>
  <si>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</si>
  <si>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</si>
  <si>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</si>
  <si>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</si>
  <si>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</si>
  <si>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</si>
  <si>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</si>
  <si>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</si>
  <si>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</si>
  <si>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</si>
  <si>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</si>
  <si>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</si>
  <si>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</si>
  <si>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</si>
  <si>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</si>
  <si>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</si>
  <si>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</si>
  <si>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</si>
  <si>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</si>
  <si>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</si>
  <si>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</si>
  <si>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</si>
  <si>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</si>
  <si>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</si>
  <si>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</si>
  <si>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</si>
  <si>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</si>
  <si>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</si>
  <si>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</si>
  <si>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</si>
  <si>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</si>
  <si>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</si>
  <si>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</si>
  <si>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</si>
  <si>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</si>
  <si>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</si>
  <si>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</si>
  <si>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</si>
  <si>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</si>
  <si>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</si>
  <si>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</si>
  <si>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</si>
  <si>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</si>
  <si>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</si>
  <si>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</si>
  <si>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</si>
  <si>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</si>
  <si>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</si>
  <si>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</si>
  <si>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</si>
  <si>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</si>
  <si>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</si>
  <si>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</si>
  <si>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</si>
  <si>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</si>
  <si>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</si>
  <si>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</si>
  <si>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</si>
  <si>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</si>
  <si>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</si>
  <si>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</si>
  <si>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</si>
  <si>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</si>
  <si>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</si>
  <si>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</si>
  <si>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</si>
  <si>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</si>
  <si>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</si>
  <si>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</si>
  <si>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</si>
  <si>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</si>
  <si>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</si>
  <si>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</si>
  <si>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</si>
  <si>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</si>
  <si>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</si>
  <si>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</si>
  <si>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</si>
  <si>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</si>
  <si>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</si>
  <si>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</si>
  <si>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</si>
  <si>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</si>
  <si>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</si>
  <si>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</si>
  <si>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</si>
  <si>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</si>
  <si>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</si>
  <si>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</si>
  <si>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</si>
  <si>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</si>
  <si>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</si>
  <si>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</si>
  <si>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</si>
  <si>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</si>
  <si>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</si>
  <si>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</si>
  <si>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</si>
  <si>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</si>
  <si>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</si>
  <si>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</si>
  <si>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</si>
  <si>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</si>
  <si>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</si>
  <si>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</si>
  <si>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</si>
  <si>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</si>
  <si>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</si>
  <si>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</si>
  <si>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</si>
  <si>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</si>
  <si>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</si>
  <si>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</si>
  <si>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</si>
  <si>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</si>
  <si>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</si>
  <si>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</si>
  <si>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</si>
  <si>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</si>
  <si>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</si>
  <si>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</si>
  <si>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</si>
  <si>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</si>
  <si>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</si>
  <si>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</si>
  <si>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</si>
  <si>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</si>
  <si>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</si>
  <si>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</si>
  <si>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</si>
  <si>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</si>
  <si>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</si>
  <si>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</si>
  <si>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</si>
  <si>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</si>
  <si>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</si>
  <si>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</si>
  <si>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</si>
  <si>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</si>
  <si>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</si>
  <si>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</si>
  <si>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</si>
  <si>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</si>
  <si>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</si>
  <si>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</si>
  <si>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</si>
  <si>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</si>
  <si>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</si>
  <si>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</si>
  <si>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</si>
  <si>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</si>
  <si>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</si>
  <si>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</si>
  <si>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</si>
  <si>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</si>
  <si>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</si>
  <si>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</si>
  <si>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</si>
  <si>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</si>
  <si>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</si>
  <si>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</si>
  <si>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</si>
  <si>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</si>
  <si>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</si>
  <si>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</si>
  <si>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</si>
  <si>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</si>
  <si>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</si>
  <si>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</si>
  <si>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</si>
  <si>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</si>
  <si>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</si>
  <si>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</si>
  <si>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</si>
  <si>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</si>
  <si>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</si>
  <si>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</si>
  <si>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</si>
  <si>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</si>
  <si>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</si>
  <si>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</si>
  <si>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</si>
  <si>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</si>
  <si>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</si>
  <si>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</si>
  <si>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</si>
  <si>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</si>
  <si>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</si>
  <si>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</si>
  <si>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</si>
  <si>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</si>
  <si>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</si>
  <si>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</si>
  <si>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</si>
  <si>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</si>
  <si>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</si>
  <si>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</si>
  <si>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</si>
  <si>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</si>
  <si>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</si>
  <si>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</si>
  <si>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</si>
  <si>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</si>
  <si>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</si>
  <si>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</si>
  <si>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</si>
  <si>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</si>
  <si>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</si>
  <si>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</si>
  <si>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</si>
  <si>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</si>
  <si>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</si>
  <si>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</si>
  <si>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</si>
  <si>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</si>
  <si>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</si>
  <si>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</si>
  <si>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</si>
  <si>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</si>
  <si>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</si>
  <si>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</si>
  <si>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</si>
  <si>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</si>
  <si>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</si>
  <si>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</si>
  <si>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</si>
  <si>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</si>
  <si>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</si>
  <si>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</si>
  <si>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</si>
  <si>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</si>
  <si>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</si>
  <si>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</si>
  <si>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</si>
  <si>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</si>
  <si>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</si>
  <si>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</si>
  <si>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</si>
  <si>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</si>
  <si>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</si>
  <si>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</si>
  <si>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</si>
  <si>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</si>
  <si>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</si>
  <si>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</si>
  <si>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</si>
  <si>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</si>
  <si>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</si>
  <si>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72030</t>
  </si>
  <si>
    <t>PEER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</si>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</sst>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72030</v>
      </c>
      <c r="B6" s="386"/>
      <c r="C6" s="387"/>
    </row>
    <row r="7" spans="1:7" s="384" customFormat="1" ht="15.75" customHeight="1">
      <c r="A7" s="388" t="str">
        <f>txtMunicipality</f>
        <v>PEER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17753.237000000001</v>
      </c>
      <c r="D10" s="676">
        <f ca="1">tertiair!C16</f>
        <v>0</v>
      </c>
      <c r="E10" s="676">
        <f ca="1">tertiair!D16</f>
        <v>36581.518314000008</v>
      </c>
      <c r="F10" s="676">
        <f>tertiair!E16</f>
        <v>318.54561787843602</v>
      </c>
      <c r="G10" s="676">
        <f ca="1">tertiair!F16</f>
        <v>3126.7502765704889</v>
      </c>
      <c r="H10" s="676">
        <f>tertiair!G16</f>
        <v>0</v>
      </c>
      <c r="I10" s="676">
        <f>tertiair!H16</f>
        <v>0</v>
      </c>
      <c r="J10" s="676">
        <f>tertiair!I16</f>
        <v>0</v>
      </c>
      <c r="K10" s="676">
        <f>tertiair!J16</f>
        <v>0</v>
      </c>
      <c r="L10" s="676">
        <f>tertiair!K16</f>
        <v>0</v>
      </c>
      <c r="M10" s="676">
        <f ca="1">tertiair!L16</f>
        <v>0</v>
      </c>
      <c r="N10" s="676">
        <f>tertiair!M16</f>
        <v>0</v>
      </c>
      <c r="O10" s="676">
        <f ca="1">tertiair!N16</f>
        <v>383.84643102042435</v>
      </c>
      <c r="P10" s="676">
        <f>tertiair!O16</f>
        <v>1.5633333333333335</v>
      </c>
      <c r="Q10" s="677">
        <f>tertiair!P16</f>
        <v>0</v>
      </c>
      <c r="R10" s="679">
        <f ca="1">SUM(C10:Q10)</f>
        <v>58165.460972802692</v>
      </c>
      <c r="S10" s="67"/>
    </row>
    <row r="11" spans="1:19" s="445" customFormat="1">
      <c r="A11" s="791" t="s">
        <v>220</v>
      </c>
      <c r="B11" s="796"/>
      <c r="C11" s="676">
        <f>huishoudens!B8</f>
        <v>32665.484750162912</v>
      </c>
      <c r="D11" s="676">
        <f>huishoudens!C8</f>
        <v>0</v>
      </c>
      <c r="E11" s="676">
        <f>huishoudens!D8</f>
        <v>38273.588232000002</v>
      </c>
      <c r="F11" s="676">
        <f>huishoudens!E8</f>
        <v>1859.8990952408099</v>
      </c>
      <c r="G11" s="676">
        <f>huishoudens!F8</f>
        <v>63486.531570186336</v>
      </c>
      <c r="H11" s="676">
        <f>huishoudens!G8</f>
        <v>0</v>
      </c>
      <c r="I11" s="676">
        <f>huishoudens!H8</f>
        <v>0</v>
      </c>
      <c r="J11" s="676">
        <f>huishoudens!I8</f>
        <v>0</v>
      </c>
      <c r="K11" s="676">
        <f>huishoudens!J8</f>
        <v>1429.5557343708147</v>
      </c>
      <c r="L11" s="676">
        <f>huishoudens!K8</f>
        <v>0</v>
      </c>
      <c r="M11" s="676">
        <f>huishoudens!L8</f>
        <v>0</v>
      </c>
      <c r="N11" s="676">
        <f>huishoudens!M8</f>
        <v>0</v>
      </c>
      <c r="O11" s="676">
        <f>huishoudens!N8</f>
        <v>8032.419993111911</v>
      </c>
      <c r="P11" s="676">
        <f>huishoudens!O8</f>
        <v>121.94000000000001</v>
      </c>
      <c r="Q11" s="677">
        <f>huishoudens!P8</f>
        <v>495.73333333333335</v>
      </c>
      <c r="R11" s="679">
        <f>SUM(C11:Q11)</f>
        <v>146365.15270840612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7033.3309999999992</v>
      </c>
      <c r="D13" s="676">
        <f>industrie!C18</f>
        <v>0</v>
      </c>
      <c r="E13" s="676">
        <f>industrie!D18</f>
        <v>2380.5502820000002</v>
      </c>
      <c r="F13" s="676">
        <f>industrie!E18</f>
        <v>108.82576289501054</v>
      </c>
      <c r="G13" s="676">
        <f>industrie!F18</f>
        <v>2347.0876368616591</v>
      </c>
      <c r="H13" s="676">
        <f>industrie!G18</f>
        <v>0</v>
      </c>
      <c r="I13" s="676">
        <f>industrie!H18</f>
        <v>0</v>
      </c>
      <c r="J13" s="676">
        <f>industrie!I18</f>
        <v>0</v>
      </c>
      <c r="K13" s="676">
        <f>industrie!J18</f>
        <v>8.5461228974921895</v>
      </c>
      <c r="L13" s="676">
        <f>industrie!K18</f>
        <v>0</v>
      </c>
      <c r="M13" s="676">
        <f>industrie!L18</f>
        <v>0</v>
      </c>
      <c r="N13" s="676">
        <f>industrie!M18</f>
        <v>0</v>
      </c>
      <c r="O13" s="676">
        <f>industrie!N18</f>
        <v>193.01962520171773</v>
      </c>
      <c r="P13" s="676">
        <f>industrie!O18</f>
        <v>0</v>
      </c>
      <c r="Q13" s="677">
        <f>industrie!P18</f>
        <v>0</v>
      </c>
      <c r="R13" s="679">
        <f>SUM(C13:Q13)</f>
        <v>12071.360429855878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57452.052750162911</v>
      </c>
      <c r="D16" s="709">
        <f t="shared" ref="D16:R16" ca="1" si="0">SUM(D9:D15)</f>
        <v>0</v>
      </c>
      <c r="E16" s="709">
        <f t="shared" ca="1" si="0"/>
        <v>77235.656828000006</v>
      </c>
      <c r="F16" s="709">
        <f t="shared" si="0"/>
        <v>2287.2704760142565</v>
      </c>
      <c r="G16" s="709">
        <f t="shared" ca="1" si="0"/>
        <v>68960.369483618488</v>
      </c>
      <c r="H16" s="709">
        <f t="shared" si="0"/>
        <v>0</v>
      </c>
      <c r="I16" s="709">
        <f t="shared" si="0"/>
        <v>0</v>
      </c>
      <c r="J16" s="709">
        <f t="shared" si="0"/>
        <v>0</v>
      </c>
      <c r="K16" s="709">
        <f t="shared" si="0"/>
        <v>1438.101857268307</v>
      </c>
      <c r="L16" s="709">
        <f t="shared" si="0"/>
        <v>0</v>
      </c>
      <c r="M16" s="709">
        <f t="shared" ca="1" si="0"/>
        <v>0</v>
      </c>
      <c r="N16" s="709">
        <f t="shared" si="0"/>
        <v>0</v>
      </c>
      <c r="O16" s="709">
        <f t="shared" ca="1" si="0"/>
        <v>8609.2860493340522</v>
      </c>
      <c r="P16" s="709">
        <f t="shared" si="0"/>
        <v>123.50333333333334</v>
      </c>
      <c r="Q16" s="709">
        <f t="shared" si="0"/>
        <v>495.73333333333335</v>
      </c>
      <c r="R16" s="709">
        <f t="shared" ca="1" si="0"/>
        <v>216601.97411106469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13.430674102661577</v>
      </c>
      <c r="D19" s="676">
        <f>transport!C54</f>
        <v>0</v>
      </c>
      <c r="E19" s="676">
        <f>transport!D54</f>
        <v>0</v>
      </c>
      <c r="F19" s="676">
        <f>transport!E54</f>
        <v>0</v>
      </c>
      <c r="G19" s="676">
        <f>transport!F54</f>
        <v>0</v>
      </c>
      <c r="H19" s="676">
        <f>transport!G54</f>
        <v>2913.6499045068363</v>
      </c>
      <c r="I19" s="676">
        <f>transport!H54</f>
        <v>0</v>
      </c>
      <c r="J19" s="676">
        <f>transport!I54</f>
        <v>0</v>
      </c>
      <c r="K19" s="676">
        <f>transport!J54</f>
        <v>0</v>
      </c>
      <c r="L19" s="676">
        <f>transport!K54</f>
        <v>0</v>
      </c>
      <c r="M19" s="676">
        <f>transport!L54</f>
        <v>0</v>
      </c>
      <c r="N19" s="676">
        <f>transport!M54</f>
        <v>124.75129685611989</v>
      </c>
      <c r="O19" s="676">
        <f>transport!N54</f>
        <v>0</v>
      </c>
      <c r="P19" s="676">
        <f>transport!O54</f>
        <v>0</v>
      </c>
      <c r="Q19" s="677">
        <f>transport!P54</f>
        <v>0</v>
      </c>
      <c r="R19" s="679">
        <f>SUM(C19:Q19)</f>
        <v>3051.8318754656179</v>
      </c>
      <c r="S19" s="67"/>
    </row>
    <row r="20" spans="1:19" s="445" customFormat="1">
      <c r="A20" s="791" t="s">
        <v>302</v>
      </c>
      <c r="B20" s="796"/>
      <c r="C20" s="676">
        <f>transport!B14</f>
        <v>1.358856185939769</v>
      </c>
      <c r="D20" s="676">
        <f>transport!C14</f>
        <v>0</v>
      </c>
      <c r="E20" s="676">
        <f>transport!D14</f>
        <v>5.1046292831120343</v>
      </c>
      <c r="F20" s="676">
        <f>transport!E14</f>
        <v>518.61330692946569</v>
      </c>
      <c r="G20" s="676">
        <f>transport!F14</f>
        <v>0</v>
      </c>
      <c r="H20" s="676">
        <f>transport!G14</f>
        <v>87136.405516030078</v>
      </c>
      <c r="I20" s="676">
        <f>transport!H14</f>
        <v>16586.639888210178</v>
      </c>
      <c r="J20" s="676">
        <f>transport!I14</f>
        <v>0</v>
      </c>
      <c r="K20" s="676">
        <f>transport!J14</f>
        <v>0</v>
      </c>
      <c r="L20" s="676">
        <f>transport!K14</f>
        <v>0</v>
      </c>
      <c r="M20" s="676">
        <f>transport!L14</f>
        <v>0</v>
      </c>
      <c r="N20" s="676">
        <f>transport!M14</f>
        <v>4517.1658369146853</v>
      </c>
      <c r="O20" s="676">
        <f>transport!N14</f>
        <v>0</v>
      </c>
      <c r="P20" s="676">
        <f>transport!O14</f>
        <v>0</v>
      </c>
      <c r="Q20" s="677">
        <f>transport!P14</f>
        <v>0</v>
      </c>
      <c r="R20" s="679">
        <f>SUM(C20:Q20)</f>
        <v>108765.28803355346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14.789530288601346</v>
      </c>
      <c r="D22" s="794">
        <f t="shared" ref="D22:R22" si="1">SUM(D18:D21)</f>
        <v>0</v>
      </c>
      <c r="E22" s="794">
        <f t="shared" si="1"/>
        <v>5.1046292831120343</v>
      </c>
      <c r="F22" s="794">
        <f t="shared" si="1"/>
        <v>518.61330692946569</v>
      </c>
      <c r="G22" s="794">
        <f t="shared" si="1"/>
        <v>0</v>
      </c>
      <c r="H22" s="794">
        <f t="shared" si="1"/>
        <v>90050.055420536912</v>
      </c>
      <c r="I22" s="794">
        <f t="shared" si="1"/>
        <v>16586.639888210178</v>
      </c>
      <c r="J22" s="794">
        <f t="shared" si="1"/>
        <v>0</v>
      </c>
      <c r="K22" s="794">
        <f t="shared" si="1"/>
        <v>0</v>
      </c>
      <c r="L22" s="794">
        <f t="shared" si="1"/>
        <v>0</v>
      </c>
      <c r="M22" s="794">
        <f t="shared" si="1"/>
        <v>0</v>
      </c>
      <c r="N22" s="794">
        <f t="shared" si="1"/>
        <v>4641.9171337708049</v>
      </c>
      <c r="O22" s="794">
        <f t="shared" si="1"/>
        <v>0</v>
      </c>
      <c r="P22" s="794">
        <f t="shared" si="1"/>
        <v>0</v>
      </c>
      <c r="Q22" s="794">
        <f t="shared" si="1"/>
        <v>0</v>
      </c>
      <c r="R22" s="794">
        <f t="shared" si="1"/>
        <v>111817.11990901908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4038.5819999999999</v>
      </c>
      <c r="D24" s="676">
        <f>+landbouw!C8</f>
        <v>0</v>
      </c>
      <c r="E24" s="676">
        <f>+landbouw!D8</f>
        <v>43.391612000000002</v>
      </c>
      <c r="F24" s="676">
        <f>+landbouw!E8</f>
        <v>42.292905021348545</v>
      </c>
      <c r="G24" s="676">
        <f>+landbouw!F8</f>
        <v>17288.199630597876</v>
      </c>
      <c r="H24" s="676">
        <f>+landbouw!G8</f>
        <v>0</v>
      </c>
      <c r="I24" s="676">
        <f>+landbouw!H8</f>
        <v>0</v>
      </c>
      <c r="J24" s="676">
        <f>+landbouw!I8</f>
        <v>0</v>
      </c>
      <c r="K24" s="676">
        <f>+landbouw!J8</f>
        <v>360.68157102799893</v>
      </c>
      <c r="L24" s="676">
        <f>+landbouw!K8</f>
        <v>0</v>
      </c>
      <c r="M24" s="676">
        <f>+landbouw!L8</f>
        <v>0</v>
      </c>
      <c r="N24" s="676">
        <f>+landbouw!M8</f>
        <v>0</v>
      </c>
      <c r="O24" s="676">
        <f>+landbouw!N8</f>
        <v>0</v>
      </c>
      <c r="P24" s="676">
        <f>+landbouw!O8</f>
        <v>0</v>
      </c>
      <c r="Q24" s="677">
        <f>+landbouw!P8</f>
        <v>0</v>
      </c>
      <c r="R24" s="679">
        <f>SUM(C24:Q24)</f>
        <v>21773.147718647222</v>
      </c>
      <c r="S24" s="67"/>
    </row>
    <row r="25" spans="1:19" s="445" customFormat="1" ht="15" thickBot="1">
      <c r="A25" s="813" t="s">
        <v>895</v>
      </c>
      <c r="B25" s="968"/>
      <c r="C25" s="969">
        <f>IF(Onbekend_ele_kWh="---",0,Onbekend_ele_kWh)/1000+IF(REST_rest_ele_kWh="---",0,REST_rest_ele_kWh)/1000</f>
        <v>13267.728999999999</v>
      </c>
      <c r="D25" s="969"/>
      <c r="E25" s="969">
        <f>IF(onbekend_gas_kWh="---",0,onbekend_gas_kWh)/1000+IF(REST_rest_gas_kWh="---",0,REST_rest_gas_kWh)/1000</f>
        <v>1671.3489999999999</v>
      </c>
      <c r="F25" s="969"/>
      <c r="G25" s="969"/>
      <c r="H25" s="969"/>
      <c r="I25" s="969"/>
      <c r="J25" s="969"/>
      <c r="K25" s="969"/>
      <c r="L25" s="969"/>
      <c r="M25" s="969"/>
      <c r="N25" s="969"/>
      <c r="O25" s="969"/>
      <c r="P25" s="969"/>
      <c r="Q25" s="970"/>
      <c r="R25" s="679">
        <f>SUM(C25:Q25)</f>
        <v>14939.078</v>
      </c>
      <c r="S25" s="67"/>
    </row>
    <row r="26" spans="1:19" s="445" customFormat="1" ht="15.75" thickBot="1">
      <c r="A26" s="682" t="s">
        <v>896</v>
      </c>
      <c r="B26" s="799"/>
      <c r="C26" s="794">
        <f>SUM(C24:C25)</f>
        <v>17306.310999999998</v>
      </c>
      <c r="D26" s="794">
        <f t="shared" ref="D26:R26" si="2">SUM(D24:D25)</f>
        <v>0</v>
      </c>
      <c r="E26" s="794">
        <f t="shared" si="2"/>
        <v>1714.7406119999998</v>
      </c>
      <c r="F26" s="794">
        <f t="shared" si="2"/>
        <v>42.292905021348545</v>
      </c>
      <c r="G26" s="794">
        <f t="shared" si="2"/>
        <v>17288.199630597876</v>
      </c>
      <c r="H26" s="794">
        <f t="shared" si="2"/>
        <v>0</v>
      </c>
      <c r="I26" s="794">
        <f t="shared" si="2"/>
        <v>0</v>
      </c>
      <c r="J26" s="794">
        <f t="shared" si="2"/>
        <v>0</v>
      </c>
      <c r="K26" s="794">
        <f t="shared" si="2"/>
        <v>360.68157102799893</v>
      </c>
      <c r="L26" s="794">
        <f t="shared" si="2"/>
        <v>0</v>
      </c>
      <c r="M26" s="794">
        <f t="shared" si="2"/>
        <v>0</v>
      </c>
      <c r="N26" s="794">
        <f t="shared" si="2"/>
        <v>0</v>
      </c>
      <c r="O26" s="794">
        <f t="shared" si="2"/>
        <v>0</v>
      </c>
      <c r="P26" s="794">
        <f t="shared" si="2"/>
        <v>0</v>
      </c>
      <c r="Q26" s="794">
        <f t="shared" si="2"/>
        <v>0</v>
      </c>
      <c r="R26" s="794">
        <f t="shared" si="2"/>
        <v>36712.22571864722</v>
      </c>
      <c r="S26" s="67"/>
    </row>
    <row r="27" spans="1:19" s="445" customFormat="1" ht="17.25" thickTop="1" thickBot="1">
      <c r="A27" s="683" t="s">
        <v>115</v>
      </c>
      <c r="B27" s="786"/>
      <c r="C27" s="684">
        <f ca="1">C22+C16+C26</f>
        <v>74773.153280451515</v>
      </c>
      <c r="D27" s="684">
        <f t="shared" ref="D27:R27" ca="1" si="3">D22+D16+D26</f>
        <v>0</v>
      </c>
      <c r="E27" s="684">
        <f t="shared" ca="1" si="3"/>
        <v>78955.502069283117</v>
      </c>
      <c r="F27" s="684">
        <f t="shared" si="3"/>
        <v>2848.1766879650704</v>
      </c>
      <c r="G27" s="684">
        <f t="shared" ca="1" si="3"/>
        <v>86248.569114216371</v>
      </c>
      <c r="H27" s="684">
        <f t="shared" si="3"/>
        <v>90050.055420536912</v>
      </c>
      <c r="I27" s="684">
        <f t="shared" si="3"/>
        <v>16586.639888210178</v>
      </c>
      <c r="J27" s="684">
        <f t="shared" si="3"/>
        <v>0</v>
      </c>
      <c r="K27" s="684">
        <f t="shared" si="3"/>
        <v>1798.7834282963058</v>
      </c>
      <c r="L27" s="684">
        <f t="shared" si="3"/>
        <v>0</v>
      </c>
      <c r="M27" s="684">
        <f t="shared" ca="1" si="3"/>
        <v>0</v>
      </c>
      <c r="N27" s="684">
        <f t="shared" si="3"/>
        <v>4641.9171337708049</v>
      </c>
      <c r="O27" s="684">
        <f t="shared" ca="1" si="3"/>
        <v>8609.2860493340522</v>
      </c>
      <c r="P27" s="684">
        <f t="shared" si="3"/>
        <v>123.50333333333334</v>
      </c>
      <c r="Q27" s="684">
        <f t="shared" si="3"/>
        <v>495.73333333333335</v>
      </c>
      <c r="R27" s="684">
        <f t="shared" ca="1" si="3"/>
        <v>365131.31973873102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3706.0844314202668</v>
      </c>
      <c r="D40" s="676">
        <f ca="1">tertiair!C20</f>
        <v>0</v>
      </c>
      <c r="E40" s="676">
        <f ca="1">tertiair!D20</f>
        <v>7389.4666994280024</v>
      </c>
      <c r="F40" s="676">
        <f>tertiair!E20</f>
        <v>72.30985525840498</v>
      </c>
      <c r="G40" s="676">
        <f ca="1">tertiair!F20</f>
        <v>834.84232384432062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12002.703309950995</v>
      </c>
    </row>
    <row r="41" spans="1:18">
      <c r="A41" s="804" t="s">
        <v>220</v>
      </c>
      <c r="B41" s="811"/>
      <c r="C41" s="676">
        <f ca="1">huishoudens!B12</f>
        <v>6819.0969611555856</v>
      </c>
      <c r="D41" s="676">
        <f ca="1">huishoudens!C12</f>
        <v>0</v>
      </c>
      <c r="E41" s="676">
        <f>huishoudens!D12</f>
        <v>7731.264822864001</v>
      </c>
      <c r="F41" s="676">
        <f>huishoudens!E12</f>
        <v>422.19709461966386</v>
      </c>
      <c r="G41" s="676">
        <f>huishoudens!F12</f>
        <v>16950.903929239754</v>
      </c>
      <c r="H41" s="676">
        <f>huishoudens!G12</f>
        <v>0</v>
      </c>
      <c r="I41" s="676">
        <f>huishoudens!H12</f>
        <v>0</v>
      </c>
      <c r="J41" s="676">
        <f>huishoudens!I12</f>
        <v>0</v>
      </c>
      <c r="K41" s="676">
        <f>huishoudens!J12</f>
        <v>506.06272996726835</v>
      </c>
      <c r="L41" s="676">
        <f>huishoudens!K12</f>
        <v>0</v>
      </c>
      <c r="M41" s="676">
        <f>huishoudens!L12</f>
        <v>0</v>
      </c>
      <c r="N41" s="676">
        <f>huishoudens!M12</f>
        <v>0</v>
      </c>
      <c r="O41" s="676">
        <f>huishoudens!N12</f>
        <v>0</v>
      </c>
      <c r="P41" s="676">
        <f>huishoudens!O12</f>
        <v>0</v>
      </c>
      <c r="Q41" s="751">
        <f>huishoudens!P12</f>
        <v>0</v>
      </c>
      <c r="R41" s="832">
        <f t="shared" ca="1" si="4"/>
        <v>32429.525537846272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1468.2459610112528</v>
      </c>
      <c r="D43" s="676">
        <f ca="1">industrie!C22</f>
        <v>0</v>
      </c>
      <c r="E43" s="676">
        <f>industrie!D22</f>
        <v>480.87115696400008</v>
      </c>
      <c r="F43" s="676">
        <f>industrie!E22</f>
        <v>24.703448177167395</v>
      </c>
      <c r="G43" s="676">
        <f>industrie!F22</f>
        <v>626.67239904206303</v>
      </c>
      <c r="H43" s="676">
        <f>industrie!G22</f>
        <v>0</v>
      </c>
      <c r="I43" s="676">
        <f>industrie!H22</f>
        <v>0</v>
      </c>
      <c r="J43" s="676">
        <f>industrie!I22</f>
        <v>0</v>
      </c>
      <c r="K43" s="676">
        <f>industrie!J22</f>
        <v>3.0253275057122351</v>
      </c>
      <c r="L43" s="676">
        <f>industrie!K22</f>
        <v>0</v>
      </c>
      <c r="M43" s="676">
        <f>industrie!L22</f>
        <v>0</v>
      </c>
      <c r="N43" s="676">
        <f>industrie!M22</f>
        <v>0</v>
      </c>
      <c r="O43" s="676">
        <f>industrie!N22</f>
        <v>0</v>
      </c>
      <c r="P43" s="676">
        <f>industrie!O22</f>
        <v>0</v>
      </c>
      <c r="Q43" s="751">
        <f>industrie!P22</f>
        <v>0</v>
      </c>
      <c r="R43" s="831">
        <f t="shared" ca="1" si="4"/>
        <v>2603.5182927001952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11993.427353587105</v>
      </c>
      <c r="D46" s="709">
        <f t="shared" ref="D46:Q46" ca="1" si="5">SUM(D39:D45)</f>
        <v>0</v>
      </c>
      <c r="E46" s="709">
        <f t="shared" ca="1" si="5"/>
        <v>15601.602679256004</v>
      </c>
      <c r="F46" s="709">
        <f t="shared" si="5"/>
        <v>519.21039805523628</v>
      </c>
      <c r="G46" s="709">
        <f t="shared" ca="1" si="5"/>
        <v>18412.418652126136</v>
      </c>
      <c r="H46" s="709">
        <f t="shared" si="5"/>
        <v>0</v>
      </c>
      <c r="I46" s="709">
        <f t="shared" si="5"/>
        <v>0</v>
      </c>
      <c r="J46" s="709">
        <f t="shared" si="5"/>
        <v>0</v>
      </c>
      <c r="K46" s="709">
        <f t="shared" si="5"/>
        <v>509.08805747298061</v>
      </c>
      <c r="L46" s="709">
        <f t="shared" si="5"/>
        <v>0</v>
      </c>
      <c r="M46" s="709">
        <f t="shared" ca="1" si="5"/>
        <v>0</v>
      </c>
      <c r="N46" s="709">
        <f t="shared" si="5"/>
        <v>0</v>
      </c>
      <c r="O46" s="709">
        <f t="shared" ca="1" si="5"/>
        <v>0</v>
      </c>
      <c r="P46" s="709">
        <f t="shared" si="5"/>
        <v>0</v>
      </c>
      <c r="Q46" s="709">
        <f t="shared" si="5"/>
        <v>0</v>
      </c>
      <c r="R46" s="709">
        <f ca="1">SUM(R39:R45)</f>
        <v>47035.747140497464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2.8037260019315591</v>
      </c>
      <c r="D49" s="676">
        <f ca="1">transport!C58</f>
        <v>0</v>
      </c>
      <c r="E49" s="676">
        <f>transport!D58</f>
        <v>0</v>
      </c>
      <c r="F49" s="676">
        <f>transport!E58</f>
        <v>0</v>
      </c>
      <c r="G49" s="676">
        <f>transport!F58</f>
        <v>0</v>
      </c>
      <c r="H49" s="676">
        <f>transport!G58</f>
        <v>777.94452450332528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780.74825050525681</v>
      </c>
    </row>
    <row r="50" spans="1:18">
      <c r="A50" s="807" t="s">
        <v>302</v>
      </c>
      <c r="B50" s="817"/>
      <c r="C50" s="975">
        <f ca="1">transport!B18</f>
        <v>0.28366859267695804</v>
      </c>
      <c r="D50" s="975">
        <f>transport!C18</f>
        <v>0</v>
      </c>
      <c r="E50" s="975">
        <f>transport!D18</f>
        <v>1.031135115188631</v>
      </c>
      <c r="F50" s="975">
        <f>transport!E18</f>
        <v>117.72522067298871</v>
      </c>
      <c r="G50" s="975">
        <f>transport!F18</f>
        <v>0</v>
      </c>
      <c r="H50" s="975">
        <f>transport!G18</f>
        <v>23265.420272780033</v>
      </c>
      <c r="I50" s="975">
        <f>transport!H18</f>
        <v>4130.0733321643347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27514.533629325222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3.0873945946085173</v>
      </c>
      <c r="D52" s="709">
        <f t="shared" ref="D52:Q52" ca="1" si="6">SUM(D48:D51)</f>
        <v>0</v>
      </c>
      <c r="E52" s="709">
        <f t="shared" si="6"/>
        <v>1.031135115188631</v>
      </c>
      <c r="F52" s="709">
        <f t="shared" si="6"/>
        <v>117.72522067298871</v>
      </c>
      <c r="G52" s="709">
        <f t="shared" si="6"/>
        <v>0</v>
      </c>
      <c r="H52" s="709">
        <f t="shared" si="6"/>
        <v>24043.364797283357</v>
      </c>
      <c r="I52" s="709">
        <f t="shared" si="6"/>
        <v>4130.0733321643347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28295.28187983048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843.07587823077688</v>
      </c>
      <c r="D54" s="975">
        <f ca="1">+landbouw!C12</f>
        <v>0</v>
      </c>
      <c r="E54" s="975">
        <f>+landbouw!D12</f>
        <v>8.7651056240000003</v>
      </c>
      <c r="F54" s="975">
        <f>+landbouw!E12</f>
        <v>9.60048943984612</v>
      </c>
      <c r="G54" s="975">
        <f>+landbouw!F12</f>
        <v>4615.9493013696328</v>
      </c>
      <c r="H54" s="975">
        <f>+landbouw!G12</f>
        <v>0</v>
      </c>
      <c r="I54" s="975">
        <f>+landbouw!H12</f>
        <v>0</v>
      </c>
      <c r="J54" s="975">
        <f>+landbouw!I12</f>
        <v>0</v>
      </c>
      <c r="K54" s="975">
        <f>+landbouw!J12</f>
        <v>127.68127614391162</v>
      </c>
      <c r="L54" s="975">
        <f>+landbouw!K12</f>
        <v>0</v>
      </c>
      <c r="M54" s="975">
        <f>+landbouw!L12</f>
        <v>0</v>
      </c>
      <c r="N54" s="975">
        <f>+landbouw!M12</f>
        <v>0</v>
      </c>
      <c r="O54" s="975">
        <f>+landbouw!N12</f>
        <v>0</v>
      </c>
      <c r="P54" s="975">
        <f>+landbouw!O12</f>
        <v>0</v>
      </c>
      <c r="Q54" s="976">
        <f>+landbouw!P12</f>
        <v>0</v>
      </c>
      <c r="R54" s="708">
        <f ca="1">SUM(C54:Q54)</f>
        <v>5605.0720508081677</v>
      </c>
    </row>
    <row r="55" spans="1:18" ht="15" thickBot="1">
      <c r="A55" s="807" t="s">
        <v>895</v>
      </c>
      <c r="B55" s="817"/>
      <c r="C55" s="975">
        <f ca="1">C25*'EF ele_warmte'!B12</f>
        <v>2769.7103287250197</v>
      </c>
      <c r="D55" s="975"/>
      <c r="E55" s="975">
        <f>E25*EF_CO2_aardgas</f>
        <v>337.61249800000002</v>
      </c>
      <c r="F55" s="975"/>
      <c r="G55" s="975"/>
      <c r="H55" s="975"/>
      <c r="I55" s="975"/>
      <c r="J55" s="975"/>
      <c r="K55" s="975"/>
      <c r="L55" s="975"/>
      <c r="M55" s="975"/>
      <c r="N55" s="975"/>
      <c r="O55" s="975"/>
      <c r="P55" s="975"/>
      <c r="Q55" s="976"/>
      <c r="R55" s="708">
        <f ca="1">SUM(C55:Q55)</f>
        <v>3107.3228267250197</v>
      </c>
    </row>
    <row r="56" spans="1:18" ht="15.75" thickBot="1">
      <c r="A56" s="805" t="s">
        <v>896</v>
      </c>
      <c r="B56" s="818"/>
      <c r="C56" s="709">
        <f ca="1">SUM(C54:C55)</f>
        <v>3612.7862069557968</v>
      </c>
      <c r="D56" s="709">
        <f t="shared" ref="D56:Q56" ca="1" si="7">SUM(D54:D55)</f>
        <v>0</v>
      </c>
      <c r="E56" s="709">
        <f t="shared" si="7"/>
        <v>346.37760362400002</v>
      </c>
      <c r="F56" s="709">
        <f t="shared" si="7"/>
        <v>9.60048943984612</v>
      </c>
      <c r="G56" s="709">
        <f t="shared" si="7"/>
        <v>4615.9493013696328</v>
      </c>
      <c r="H56" s="709">
        <f t="shared" si="7"/>
        <v>0</v>
      </c>
      <c r="I56" s="709">
        <f t="shared" si="7"/>
        <v>0</v>
      </c>
      <c r="J56" s="709">
        <f t="shared" si="7"/>
        <v>0</v>
      </c>
      <c r="K56" s="709">
        <f t="shared" si="7"/>
        <v>127.68127614391162</v>
      </c>
      <c r="L56" s="709">
        <f t="shared" si="7"/>
        <v>0</v>
      </c>
      <c r="M56" s="709">
        <f t="shared" si="7"/>
        <v>0</v>
      </c>
      <c r="N56" s="709">
        <f t="shared" si="7"/>
        <v>0</v>
      </c>
      <c r="O56" s="709">
        <f t="shared" si="7"/>
        <v>0</v>
      </c>
      <c r="P56" s="709">
        <f t="shared" si="7"/>
        <v>0</v>
      </c>
      <c r="Q56" s="710">
        <f t="shared" si="7"/>
        <v>0</v>
      </c>
      <c r="R56" s="711">
        <f ca="1">SUM(R54:R55)</f>
        <v>8712.3948775331883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15609.300955137511</v>
      </c>
      <c r="D61" s="717">
        <f t="shared" ref="D61:Q61" ca="1" si="8">D46+D52+D56</f>
        <v>0</v>
      </c>
      <c r="E61" s="717">
        <f t="shared" ca="1" si="8"/>
        <v>15949.011417995192</v>
      </c>
      <c r="F61" s="717">
        <f t="shared" si="8"/>
        <v>646.53610816807111</v>
      </c>
      <c r="G61" s="717">
        <f t="shared" ca="1" si="8"/>
        <v>23028.36795349577</v>
      </c>
      <c r="H61" s="717">
        <f t="shared" si="8"/>
        <v>24043.364797283357</v>
      </c>
      <c r="I61" s="717">
        <f t="shared" si="8"/>
        <v>4130.0733321643347</v>
      </c>
      <c r="J61" s="717">
        <f t="shared" si="8"/>
        <v>0</v>
      </c>
      <c r="K61" s="717">
        <f t="shared" si="8"/>
        <v>636.76933361689225</v>
      </c>
      <c r="L61" s="717">
        <f t="shared" si="8"/>
        <v>0</v>
      </c>
      <c r="M61" s="717">
        <f t="shared" ca="1" si="8"/>
        <v>0</v>
      </c>
      <c r="N61" s="717">
        <f t="shared" si="8"/>
        <v>0</v>
      </c>
      <c r="O61" s="717">
        <f t="shared" ca="1" si="8"/>
        <v>0</v>
      </c>
      <c r="P61" s="717">
        <f t="shared" si="8"/>
        <v>0</v>
      </c>
      <c r="Q61" s="717">
        <f t="shared" si="8"/>
        <v>0</v>
      </c>
      <c r="R61" s="717">
        <f ca="1">R46+R52+R56</f>
        <v>84043.423897861125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0.20875541916216556</v>
      </c>
      <c r="D63" s="761">
        <f t="shared" ca="1" si="9"/>
        <v>0</v>
      </c>
      <c r="E63" s="977">
        <f t="shared" ca="1" si="9"/>
        <v>0.20200000000000004</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4142.8322164808797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4142.8322164808797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32665.484750162912</v>
      </c>
      <c r="C4" s="449">
        <f>huishoudens!C8</f>
        <v>0</v>
      </c>
      <c r="D4" s="449">
        <f>huishoudens!D8</f>
        <v>38273.588232000002</v>
      </c>
      <c r="E4" s="449">
        <f>huishoudens!E8</f>
        <v>1859.8990952408099</v>
      </c>
      <c r="F4" s="449">
        <f>huishoudens!F8</f>
        <v>63486.531570186336</v>
      </c>
      <c r="G4" s="449">
        <f>huishoudens!G8</f>
        <v>0</v>
      </c>
      <c r="H4" s="449">
        <f>huishoudens!H8</f>
        <v>0</v>
      </c>
      <c r="I4" s="449">
        <f>huishoudens!I8</f>
        <v>0</v>
      </c>
      <c r="J4" s="449">
        <f>huishoudens!J8</f>
        <v>1429.5557343708147</v>
      </c>
      <c r="K4" s="449">
        <f>huishoudens!K8</f>
        <v>0</v>
      </c>
      <c r="L4" s="449">
        <f>huishoudens!L8</f>
        <v>0</v>
      </c>
      <c r="M4" s="449">
        <f>huishoudens!M8</f>
        <v>0</v>
      </c>
      <c r="N4" s="449">
        <f>huishoudens!N8</f>
        <v>8032.419993111911</v>
      </c>
      <c r="O4" s="449">
        <f>huishoudens!O8</f>
        <v>121.94000000000001</v>
      </c>
      <c r="P4" s="450">
        <f>huishoudens!P8</f>
        <v>495.73333333333335</v>
      </c>
      <c r="Q4" s="451">
        <f>SUM(B4:P4)</f>
        <v>146365.15270840612</v>
      </c>
    </row>
    <row r="5" spans="1:17">
      <c r="A5" s="448" t="s">
        <v>155</v>
      </c>
      <c r="B5" s="449">
        <f ca="1">tertiair!B16</f>
        <v>16681.875</v>
      </c>
      <c r="C5" s="449">
        <f ca="1">tertiair!C16</f>
        <v>0</v>
      </c>
      <c r="D5" s="449">
        <f ca="1">tertiair!D16</f>
        <v>36581.518314000008</v>
      </c>
      <c r="E5" s="449">
        <f>tertiair!E16</f>
        <v>318.54561787843602</v>
      </c>
      <c r="F5" s="449">
        <f ca="1">tertiair!F16</f>
        <v>3126.7502765704889</v>
      </c>
      <c r="G5" s="449">
        <f>tertiair!G16</f>
        <v>0</v>
      </c>
      <c r="H5" s="449">
        <f>tertiair!H16</f>
        <v>0</v>
      </c>
      <c r="I5" s="449">
        <f>tertiair!I16</f>
        <v>0</v>
      </c>
      <c r="J5" s="449">
        <f>tertiair!J16</f>
        <v>0</v>
      </c>
      <c r="K5" s="449">
        <f>tertiair!K16</f>
        <v>0</v>
      </c>
      <c r="L5" s="449">
        <f ca="1">tertiair!L16</f>
        <v>0</v>
      </c>
      <c r="M5" s="449">
        <f>tertiair!M16</f>
        <v>0</v>
      </c>
      <c r="N5" s="449">
        <f ca="1">tertiair!N16</f>
        <v>383.84643102042435</v>
      </c>
      <c r="O5" s="449">
        <f>tertiair!O16</f>
        <v>1.5633333333333335</v>
      </c>
      <c r="P5" s="450">
        <f>tertiair!P16</f>
        <v>0</v>
      </c>
      <c r="Q5" s="448">
        <f t="shared" ref="Q5:Q14" ca="1" si="0">SUM(B5:P5)</f>
        <v>57094.098972802691</v>
      </c>
    </row>
    <row r="6" spans="1:17">
      <c r="A6" s="448" t="s">
        <v>193</v>
      </c>
      <c r="B6" s="449">
        <f>'openbare verlichting'!B8</f>
        <v>1071.3620000000001</v>
      </c>
      <c r="C6" s="449"/>
      <c r="D6" s="449"/>
      <c r="E6" s="449"/>
      <c r="F6" s="449"/>
      <c r="G6" s="449"/>
      <c r="H6" s="449"/>
      <c r="I6" s="449"/>
      <c r="J6" s="449"/>
      <c r="K6" s="449"/>
      <c r="L6" s="449"/>
      <c r="M6" s="449"/>
      <c r="N6" s="449"/>
      <c r="O6" s="449"/>
      <c r="P6" s="450"/>
      <c r="Q6" s="448">
        <f t="shared" si="0"/>
        <v>1071.3620000000001</v>
      </c>
    </row>
    <row r="7" spans="1:17">
      <c r="A7" s="448" t="s">
        <v>111</v>
      </c>
      <c r="B7" s="449">
        <f>landbouw!B8</f>
        <v>4038.5819999999999</v>
      </c>
      <c r="C7" s="449">
        <f>landbouw!C8</f>
        <v>0</v>
      </c>
      <c r="D7" s="449">
        <f>landbouw!D8</f>
        <v>43.391612000000002</v>
      </c>
      <c r="E7" s="449">
        <f>landbouw!E8</f>
        <v>42.292905021348545</v>
      </c>
      <c r="F7" s="449">
        <f>landbouw!F8</f>
        <v>17288.199630597876</v>
      </c>
      <c r="G7" s="449">
        <f>landbouw!G8</f>
        <v>0</v>
      </c>
      <c r="H7" s="449">
        <f>landbouw!H8</f>
        <v>0</v>
      </c>
      <c r="I7" s="449">
        <f>landbouw!I8</f>
        <v>0</v>
      </c>
      <c r="J7" s="449">
        <f>landbouw!J8</f>
        <v>360.68157102799893</v>
      </c>
      <c r="K7" s="449">
        <f>landbouw!K8</f>
        <v>0</v>
      </c>
      <c r="L7" s="449">
        <f>landbouw!L8</f>
        <v>0</v>
      </c>
      <c r="M7" s="449">
        <f>landbouw!M8</f>
        <v>0</v>
      </c>
      <c r="N7" s="449">
        <f>landbouw!N8</f>
        <v>0</v>
      </c>
      <c r="O7" s="449">
        <f>landbouw!O8</f>
        <v>0</v>
      </c>
      <c r="P7" s="450">
        <f>landbouw!P8</f>
        <v>0</v>
      </c>
      <c r="Q7" s="448">
        <f t="shared" si="0"/>
        <v>21773.147718647222</v>
      </c>
    </row>
    <row r="8" spans="1:17">
      <c r="A8" s="448" t="s">
        <v>643</v>
      </c>
      <c r="B8" s="449">
        <f>industrie!B18</f>
        <v>7033.3309999999992</v>
      </c>
      <c r="C8" s="449">
        <f>industrie!C18</f>
        <v>0</v>
      </c>
      <c r="D8" s="449">
        <f>industrie!D18</f>
        <v>2380.5502820000002</v>
      </c>
      <c r="E8" s="449">
        <f>industrie!E18</f>
        <v>108.82576289501054</v>
      </c>
      <c r="F8" s="449">
        <f>industrie!F18</f>
        <v>2347.0876368616591</v>
      </c>
      <c r="G8" s="449">
        <f>industrie!G18</f>
        <v>0</v>
      </c>
      <c r="H8" s="449">
        <f>industrie!H18</f>
        <v>0</v>
      </c>
      <c r="I8" s="449">
        <f>industrie!I18</f>
        <v>0</v>
      </c>
      <c r="J8" s="449">
        <f>industrie!J18</f>
        <v>8.5461228974921895</v>
      </c>
      <c r="K8" s="449">
        <f>industrie!K18</f>
        <v>0</v>
      </c>
      <c r="L8" s="449">
        <f>industrie!L18</f>
        <v>0</v>
      </c>
      <c r="M8" s="449">
        <f>industrie!M18</f>
        <v>0</v>
      </c>
      <c r="N8" s="449">
        <f>industrie!N18</f>
        <v>193.01962520171773</v>
      </c>
      <c r="O8" s="449">
        <f>industrie!O18</f>
        <v>0</v>
      </c>
      <c r="P8" s="450">
        <f>industrie!P18</f>
        <v>0</v>
      </c>
      <c r="Q8" s="448">
        <f t="shared" si="0"/>
        <v>12071.360429855878</v>
      </c>
    </row>
    <row r="9" spans="1:17" s="454" customFormat="1">
      <c r="A9" s="452" t="s">
        <v>562</v>
      </c>
      <c r="B9" s="453">
        <f>transport!B14</f>
        <v>1.358856185939769</v>
      </c>
      <c r="C9" s="453">
        <f>transport!C14</f>
        <v>0</v>
      </c>
      <c r="D9" s="453">
        <f>transport!D14</f>
        <v>5.1046292831120343</v>
      </c>
      <c r="E9" s="453">
        <f>transport!E14</f>
        <v>518.61330692946569</v>
      </c>
      <c r="F9" s="453">
        <f>transport!F14</f>
        <v>0</v>
      </c>
      <c r="G9" s="453">
        <f>transport!G14</f>
        <v>87136.405516030078</v>
      </c>
      <c r="H9" s="453">
        <f>transport!H14</f>
        <v>16586.639888210178</v>
      </c>
      <c r="I9" s="453">
        <f>transport!I14</f>
        <v>0</v>
      </c>
      <c r="J9" s="453">
        <f>transport!J14</f>
        <v>0</v>
      </c>
      <c r="K9" s="453">
        <f>transport!K14</f>
        <v>0</v>
      </c>
      <c r="L9" s="453">
        <f>transport!L14</f>
        <v>0</v>
      </c>
      <c r="M9" s="453">
        <f>transport!M14</f>
        <v>4517.1658369146853</v>
      </c>
      <c r="N9" s="453">
        <f>transport!N14</f>
        <v>0</v>
      </c>
      <c r="O9" s="453">
        <f>transport!O14</f>
        <v>0</v>
      </c>
      <c r="P9" s="453">
        <f>transport!P14</f>
        <v>0</v>
      </c>
      <c r="Q9" s="452">
        <f>SUM(B9:P9)</f>
        <v>108765.28803355346</v>
      </c>
    </row>
    <row r="10" spans="1:17">
      <c r="A10" s="448" t="s">
        <v>552</v>
      </c>
      <c r="B10" s="449">
        <f>transport!B54</f>
        <v>13.430674102661577</v>
      </c>
      <c r="C10" s="449">
        <f>transport!C54</f>
        <v>0</v>
      </c>
      <c r="D10" s="449">
        <f>transport!D54</f>
        <v>0</v>
      </c>
      <c r="E10" s="449">
        <f>transport!E54</f>
        <v>0</v>
      </c>
      <c r="F10" s="449">
        <f>transport!F54</f>
        <v>0</v>
      </c>
      <c r="G10" s="449">
        <f>transport!G54</f>
        <v>2913.6499045068363</v>
      </c>
      <c r="H10" s="449">
        <f>transport!H54</f>
        <v>0</v>
      </c>
      <c r="I10" s="449">
        <f>transport!I54</f>
        <v>0</v>
      </c>
      <c r="J10" s="449">
        <f>transport!J54</f>
        <v>0</v>
      </c>
      <c r="K10" s="449">
        <f>transport!K54</f>
        <v>0</v>
      </c>
      <c r="L10" s="449">
        <f>transport!L54</f>
        <v>0</v>
      </c>
      <c r="M10" s="449">
        <f>transport!M54</f>
        <v>124.75129685611989</v>
      </c>
      <c r="N10" s="449">
        <f>transport!N54</f>
        <v>0</v>
      </c>
      <c r="O10" s="449">
        <f>transport!O54</f>
        <v>0</v>
      </c>
      <c r="P10" s="450">
        <f>transport!P54</f>
        <v>0</v>
      </c>
      <c r="Q10" s="448">
        <f t="shared" si="0"/>
        <v>3051.8318754656179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13267.728999999999</v>
      </c>
      <c r="C14" s="456"/>
      <c r="D14" s="456">
        <f>'SEAP template'!E25</f>
        <v>1671.3489999999999</v>
      </c>
      <c r="E14" s="456"/>
      <c r="F14" s="456"/>
      <c r="G14" s="456"/>
      <c r="H14" s="456"/>
      <c r="I14" s="456"/>
      <c r="J14" s="456"/>
      <c r="K14" s="456"/>
      <c r="L14" s="456"/>
      <c r="M14" s="456"/>
      <c r="N14" s="456"/>
      <c r="O14" s="456"/>
      <c r="P14" s="457"/>
      <c r="Q14" s="448">
        <f t="shared" si="0"/>
        <v>14939.078</v>
      </c>
    </row>
    <row r="15" spans="1:17" s="461" customFormat="1">
      <c r="A15" s="458" t="s">
        <v>556</v>
      </c>
      <c r="B15" s="459">
        <f ca="1">SUM(B4:B14)</f>
        <v>74773.153280451515</v>
      </c>
      <c r="C15" s="459">
        <f t="shared" ref="C15:Q15" ca="1" si="1">SUM(C4:C14)</f>
        <v>0</v>
      </c>
      <c r="D15" s="459">
        <f t="shared" ca="1" si="1"/>
        <v>78955.502069283131</v>
      </c>
      <c r="E15" s="459">
        <f t="shared" si="1"/>
        <v>2848.1766879650704</v>
      </c>
      <c r="F15" s="459">
        <f t="shared" ca="1" si="1"/>
        <v>86248.569114216371</v>
      </c>
      <c r="G15" s="459">
        <f t="shared" si="1"/>
        <v>90050.055420536912</v>
      </c>
      <c r="H15" s="459">
        <f t="shared" si="1"/>
        <v>16586.639888210178</v>
      </c>
      <c r="I15" s="459">
        <f t="shared" si="1"/>
        <v>0</v>
      </c>
      <c r="J15" s="459">
        <f t="shared" si="1"/>
        <v>1798.7834282963058</v>
      </c>
      <c r="K15" s="459">
        <f t="shared" si="1"/>
        <v>0</v>
      </c>
      <c r="L15" s="459">
        <f t="shared" ca="1" si="1"/>
        <v>0</v>
      </c>
      <c r="M15" s="459">
        <f t="shared" si="1"/>
        <v>4641.9171337708049</v>
      </c>
      <c r="N15" s="459">
        <f t="shared" ca="1" si="1"/>
        <v>8609.2860493340522</v>
      </c>
      <c r="O15" s="459">
        <f t="shared" si="1"/>
        <v>123.50333333333334</v>
      </c>
      <c r="P15" s="459">
        <f t="shared" si="1"/>
        <v>495.73333333333335</v>
      </c>
      <c r="Q15" s="459">
        <f t="shared" ca="1" si="1"/>
        <v>365131.31973873096</v>
      </c>
    </row>
    <row r="17" spans="1:17">
      <c r="A17" s="462" t="s">
        <v>557</v>
      </c>
      <c r="B17" s="766">
        <f ca="1">huishoudens!B10</f>
        <v>0.20875541916216556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6819.0969611555856</v>
      </c>
      <c r="C22" s="449">
        <f t="shared" ref="C22:C32" ca="1" si="3">C4*$C$17</f>
        <v>0</v>
      </c>
      <c r="D22" s="449">
        <f t="shared" ref="D22:D32" si="4">D4*$D$17</f>
        <v>7731.264822864001</v>
      </c>
      <c r="E22" s="449">
        <f t="shared" ref="E22:E32" si="5">E4*$E$17</f>
        <v>422.19709461966386</v>
      </c>
      <c r="F22" s="449">
        <f t="shared" ref="F22:F32" si="6">F4*$F$17</f>
        <v>16950.903929239754</v>
      </c>
      <c r="G22" s="449">
        <f t="shared" ref="G22:G32" si="7">G4*$G$17</f>
        <v>0</v>
      </c>
      <c r="H22" s="449">
        <f t="shared" ref="H22:H32" si="8">H4*$H$17</f>
        <v>0</v>
      </c>
      <c r="I22" s="449">
        <f t="shared" ref="I22:I32" si="9">I4*$I$17</f>
        <v>0</v>
      </c>
      <c r="J22" s="449">
        <f t="shared" ref="J22:J32" si="10">J4*$J$17</f>
        <v>506.06272996726835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32429.525537846272</v>
      </c>
    </row>
    <row r="23" spans="1:17">
      <c r="A23" s="448" t="s">
        <v>155</v>
      </c>
      <c r="B23" s="449">
        <f t="shared" ca="1" si="2"/>
        <v>3482.4318080358507</v>
      </c>
      <c r="C23" s="449">
        <f t="shared" ca="1" si="3"/>
        <v>0</v>
      </c>
      <c r="D23" s="449">
        <f t="shared" ca="1" si="4"/>
        <v>7389.4666994280024</v>
      </c>
      <c r="E23" s="449">
        <f t="shared" si="5"/>
        <v>72.30985525840498</v>
      </c>
      <c r="F23" s="449">
        <f t="shared" ca="1" si="6"/>
        <v>834.84232384432062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11779.050686566579</v>
      </c>
    </row>
    <row r="24" spans="1:17">
      <c r="A24" s="448" t="s">
        <v>193</v>
      </c>
      <c r="B24" s="449">
        <f t="shared" ca="1" si="2"/>
        <v>223.65262338441602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223.65262338441602</v>
      </c>
    </row>
    <row r="25" spans="1:17">
      <c r="A25" s="448" t="s">
        <v>111</v>
      </c>
      <c r="B25" s="449">
        <f t="shared" ca="1" si="2"/>
        <v>843.07587823077688</v>
      </c>
      <c r="C25" s="449">
        <f t="shared" ca="1" si="3"/>
        <v>0</v>
      </c>
      <c r="D25" s="449">
        <f t="shared" si="4"/>
        <v>8.7651056240000003</v>
      </c>
      <c r="E25" s="449">
        <f t="shared" si="5"/>
        <v>9.60048943984612</v>
      </c>
      <c r="F25" s="449">
        <f t="shared" si="6"/>
        <v>4615.9493013696328</v>
      </c>
      <c r="G25" s="449">
        <f t="shared" si="7"/>
        <v>0</v>
      </c>
      <c r="H25" s="449">
        <f t="shared" si="8"/>
        <v>0</v>
      </c>
      <c r="I25" s="449">
        <f t="shared" si="9"/>
        <v>0</v>
      </c>
      <c r="J25" s="449">
        <f t="shared" si="10"/>
        <v>127.68127614391162</v>
      </c>
      <c r="K25" s="449">
        <f t="shared" si="11"/>
        <v>0</v>
      </c>
      <c r="L25" s="449">
        <f t="shared" si="12"/>
        <v>0</v>
      </c>
      <c r="M25" s="449">
        <f t="shared" si="13"/>
        <v>0</v>
      </c>
      <c r="N25" s="449">
        <f t="shared" si="14"/>
        <v>0</v>
      </c>
      <c r="O25" s="449">
        <f t="shared" si="15"/>
        <v>0</v>
      </c>
      <c r="P25" s="450">
        <f t="shared" si="16"/>
        <v>0</v>
      </c>
      <c r="Q25" s="448">
        <f t="shared" ca="1" si="17"/>
        <v>5605.0720508081677</v>
      </c>
    </row>
    <row r="26" spans="1:17">
      <c r="A26" s="448" t="s">
        <v>643</v>
      </c>
      <c r="B26" s="449">
        <f t="shared" ca="1" si="2"/>
        <v>1468.2459610112528</v>
      </c>
      <c r="C26" s="449">
        <f t="shared" ca="1" si="3"/>
        <v>0</v>
      </c>
      <c r="D26" s="449">
        <f t="shared" si="4"/>
        <v>480.87115696400008</v>
      </c>
      <c r="E26" s="449">
        <f t="shared" si="5"/>
        <v>24.703448177167395</v>
      </c>
      <c r="F26" s="449">
        <f t="shared" si="6"/>
        <v>626.67239904206303</v>
      </c>
      <c r="G26" s="449">
        <f t="shared" si="7"/>
        <v>0</v>
      </c>
      <c r="H26" s="449">
        <f t="shared" si="8"/>
        <v>0</v>
      </c>
      <c r="I26" s="449">
        <f t="shared" si="9"/>
        <v>0</v>
      </c>
      <c r="J26" s="449">
        <f t="shared" si="10"/>
        <v>3.0253275057122351</v>
      </c>
      <c r="K26" s="449">
        <f t="shared" si="11"/>
        <v>0</v>
      </c>
      <c r="L26" s="449">
        <f t="shared" si="12"/>
        <v>0</v>
      </c>
      <c r="M26" s="449">
        <f t="shared" si="13"/>
        <v>0</v>
      </c>
      <c r="N26" s="449">
        <f t="shared" si="14"/>
        <v>0</v>
      </c>
      <c r="O26" s="449">
        <f t="shared" si="15"/>
        <v>0</v>
      </c>
      <c r="P26" s="450">
        <f t="shared" si="16"/>
        <v>0</v>
      </c>
      <c r="Q26" s="448">
        <f t="shared" ca="1" si="17"/>
        <v>2603.5182927001952</v>
      </c>
    </row>
    <row r="27" spans="1:17" s="454" customFormat="1">
      <c r="A27" s="452" t="s">
        <v>562</v>
      </c>
      <c r="B27" s="760">
        <f t="shared" ca="1" si="2"/>
        <v>0.28366859267695804</v>
      </c>
      <c r="C27" s="453">
        <f t="shared" ca="1" si="3"/>
        <v>0</v>
      </c>
      <c r="D27" s="453">
        <f t="shared" si="4"/>
        <v>1.031135115188631</v>
      </c>
      <c r="E27" s="453">
        <f t="shared" si="5"/>
        <v>117.72522067298871</v>
      </c>
      <c r="F27" s="453">
        <f t="shared" si="6"/>
        <v>0</v>
      </c>
      <c r="G27" s="453">
        <f t="shared" si="7"/>
        <v>23265.420272780033</v>
      </c>
      <c r="H27" s="453">
        <f t="shared" si="8"/>
        <v>4130.0733321643347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27514.533629325222</v>
      </c>
    </row>
    <row r="28" spans="1:17">
      <c r="A28" s="448" t="s">
        <v>552</v>
      </c>
      <c r="B28" s="449">
        <f t="shared" ca="1" si="2"/>
        <v>2.8037260019315591</v>
      </c>
      <c r="C28" s="449">
        <f t="shared" ca="1" si="3"/>
        <v>0</v>
      </c>
      <c r="D28" s="449">
        <f t="shared" si="4"/>
        <v>0</v>
      </c>
      <c r="E28" s="449">
        <f t="shared" si="5"/>
        <v>0</v>
      </c>
      <c r="F28" s="449">
        <f t="shared" si="6"/>
        <v>0</v>
      </c>
      <c r="G28" s="449">
        <f t="shared" si="7"/>
        <v>777.94452450332528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780.74825050525681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2769.7103287250197</v>
      </c>
      <c r="C32" s="449">
        <f t="shared" ca="1" si="3"/>
        <v>0</v>
      </c>
      <c r="D32" s="449">
        <f t="shared" si="4"/>
        <v>337.61249800000002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3107.3228267250197</v>
      </c>
    </row>
    <row r="33" spans="1:17" s="461" customFormat="1">
      <c r="A33" s="458" t="s">
        <v>556</v>
      </c>
      <c r="B33" s="459">
        <f ca="1">SUM(B22:B32)</f>
        <v>15609.300955137511</v>
      </c>
      <c r="C33" s="459">
        <f t="shared" ref="C33:Q33" ca="1" si="19">SUM(C22:C32)</f>
        <v>0</v>
      </c>
      <c r="D33" s="459">
        <f t="shared" ca="1" si="19"/>
        <v>15949.011417995192</v>
      </c>
      <c r="E33" s="459">
        <f t="shared" si="19"/>
        <v>646.53610816807111</v>
      </c>
      <c r="F33" s="459">
        <f t="shared" ca="1" si="19"/>
        <v>23028.36795349577</v>
      </c>
      <c r="G33" s="459">
        <f t="shared" si="19"/>
        <v>24043.364797283357</v>
      </c>
      <c r="H33" s="459">
        <f t="shared" si="19"/>
        <v>4130.0733321643347</v>
      </c>
      <c r="I33" s="459">
        <f t="shared" si="19"/>
        <v>0</v>
      </c>
      <c r="J33" s="459">
        <f t="shared" si="19"/>
        <v>636.76933361689214</v>
      </c>
      <c r="K33" s="459">
        <f t="shared" si="19"/>
        <v>0</v>
      </c>
      <c r="L33" s="459">
        <f t="shared" ca="1" si="19"/>
        <v>0</v>
      </c>
      <c r="M33" s="459">
        <f t="shared" si="19"/>
        <v>0</v>
      </c>
      <c r="N33" s="459">
        <f t="shared" ca="1" si="19"/>
        <v>0</v>
      </c>
      <c r="O33" s="459">
        <f t="shared" si="19"/>
        <v>0</v>
      </c>
      <c r="P33" s="459">
        <f t="shared" si="19"/>
        <v>0</v>
      </c>
      <c r="Q33" s="459">
        <f t="shared" ca="1" si="19"/>
        <v>84043.423897861125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4142.8322164808797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4142.8322164808797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0.20875541916216556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0.20875541916216556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0.20875541916216556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0.20875541916216556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5164</v>
      </c>
      <c r="C14" s="326"/>
      <c r="D14" s="326"/>
      <c r="E14" s="326"/>
      <c r="F14" s="326"/>
    </row>
    <row r="15" spans="1:6">
      <c r="A15" s="1282" t="s">
        <v>183</v>
      </c>
      <c r="B15" s="1283">
        <v>1676</v>
      </c>
      <c r="C15" s="326"/>
      <c r="D15" s="326"/>
      <c r="E15" s="326"/>
      <c r="F15" s="326"/>
    </row>
    <row r="16" spans="1:6">
      <c r="A16" s="1282" t="s">
        <v>6</v>
      </c>
      <c r="B16" s="1283">
        <v>3651</v>
      </c>
      <c r="C16" s="326"/>
      <c r="D16" s="326"/>
      <c r="E16" s="326"/>
      <c r="F16" s="326"/>
    </row>
    <row r="17" spans="1:6">
      <c r="A17" s="1282" t="s">
        <v>7</v>
      </c>
      <c r="B17" s="1283">
        <v>690</v>
      </c>
      <c r="C17" s="326"/>
      <c r="D17" s="326"/>
      <c r="E17" s="326"/>
      <c r="F17" s="326"/>
    </row>
    <row r="18" spans="1:6">
      <c r="A18" s="1282" t="s">
        <v>8</v>
      </c>
      <c r="B18" s="1283">
        <v>2147</v>
      </c>
      <c r="C18" s="326"/>
      <c r="D18" s="326"/>
      <c r="E18" s="326"/>
      <c r="F18" s="326"/>
    </row>
    <row r="19" spans="1:6">
      <c r="A19" s="1282" t="s">
        <v>9</v>
      </c>
      <c r="B19" s="1283">
        <v>2035</v>
      </c>
      <c r="C19" s="326"/>
      <c r="D19" s="326"/>
      <c r="E19" s="326"/>
      <c r="F19" s="326"/>
    </row>
    <row r="20" spans="1:6">
      <c r="A20" s="1282" t="s">
        <v>10</v>
      </c>
      <c r="B20" s="1283">
        <v>1523</v>
      </c>
      <c r="C20" s="326"/>
      <c r="D20" s="326"/>
      <c r="E20" s="326"/>
      <c r="F20" s="326"/>
    </row>
    <row r="21" spans="1:6">
      <c r="A21" s="1282" t="s">
        <v>11</v>
      </c>
      <c r="B21" s="1283">
        <v>8995</v>
      </c>
      <c r="C21" s="326"/>
      <c r="D21" s="326"/>
      <c r="E21" s="326"/>
      <c r="F21" s="326"/>
    </row>
    <row r="22" spans="1:6">
      <c r="A22" s="1282" t="s">
        <v>12</v>
      </c>
      <c r="B22" s="1283">
        <v>22939</v>
      </c>
      <c r="C22" s="326"/>
      <c r="D22" s="326"/>
      <c r="E22" s="326"/>
      <c r="F22" s="326"/>
    </row>
    <row r="23" spans="1:6">
      <c r="A23" s="1282" t="s">
        <v>13</v>
      </c>
      <c r="B23" s="1283">
        <v>784</v>
      </c>
      <c r="C23" s="326"/>
      <c r="D23" s="326"/>
      <c r="E23" s="326"/>
      <c r="F23" s="326"/>
    </row>
    <row r="24" spans="1:6">
      <c r="A24" s="1282" t="s">
        <v>14</v>
      </c>
      <c r="B24" s="1283">
        <v>30</v>
      </c>
      <c r="C24" s="326"/>
      <c r="D24" s="326"/>
      <c r="E24" s="326"/>
      <c r="F24" s="326"/>
    </row>
    <row r="25" spans="1:6">
      <c r="A25" s="1282" t="s">
        <v>15</v>
      </c>
      <c r="B25" s="1283">
        <v>4219</v>
      </c>
      <c r="C25" s="326"/>
      <c r="D25" s="326"/>
      <c r="E25" s="326"/>
      <c r="F25" s="326"/>
    </row>
    <row r="26" spans="1:6">
      <c r="A26" s="1282" t="s">
        <v>16</v>
      </c>
      <c r="B26" s="1283">
        <v>190</v>
      </c>
      <c r="C26" s="326"/>
      <c r="D26" s="326"/>
      <c r="E26" s="326"/>
      <c r="F26" s="326"/>
    </row>
    <row r="27" spans="1:6">
      <c r="A27" s="1282" t="s">
        <v>17</v>
      </c>
      <c r="B27" s="1283">
        <v>1161</v>
      </c>
      <c r="C27" s="326"/>
      <c r="D27" s="326"/>
      <c r="E27" s="326"/>
      <c r="F27" s="326"/>
    </row>
    <row r="28" spans="1:6" s="43" customFormat="1">
      <c r="A28" s="1284" t="s">
        <v>18</v>
      </c>
      <c r="B28" s="1285">
        <v>309134</v>
      </c>
      <c r="C28" s="332"/>
      <c r="D28" s="332"/>
      <c r="E28" s="332"/>
      <c r="F28" s="332"/>
    </row>
    <row r="29" spans="1:6">
      <c r="A29" s="1284" t="s">
        <v>978</v>
      </c>
      <c r="B29" s="1285">
        <v>386</v>
      </c>
      <c r="C29" s="332"/>
      <c r="D29" s="332"/>
      <c r="E29" s="332"/>
      <c r="F29" s="332"/>
    </row>
    <row r="30" spans="1:6">
      <c r="A30" s="1277" t="s">
        <v>979</v>
      </c>
      <c r="B30" s="1286">
        <v>96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16</v>
      </c>
      <c r="F36" s="1283">
        <v>23740</v>
      </c>
    </row>
    <row r="37" spans="1:6">
      <c r="A37" s="1282" t="s">
        <v>24</v>
      </c>
      <c r="B37" s="1282" t="s">
        <v>27</v>
      </c>
      <c r="C37" s="1283">
        <v>0</v>
      </c>
      <c r="D37" s="1283">
        <v>0</v>
      </c>
      <c r="E37" s="1283">
        <v>0</v>
      </c>
      <c r="F37" s="1283">
        <v>0</v>
      </c>
    </row>
    <row r="38" spans="1:6">
      <c r="A38" s="1282" t="s">
        <v>24</v>
      </c>
      <c r="B38" s="1282" t="s">
        <v>28</v>
      </c>
      <c r="C38" s="1283">
        <v>1</v>
      </c>
      <c r="D38" s="1283">
        <v>203426</v>
      </c>
      <c r="E38" s="1283">
        <v>2</v>
      </c>
      <c r="F38" s="1283">
        <v>34319</v>
      </c>
    </row>
    <row r="39" spans="1:6">
      <c r="A39" s="1282" t="s">
        <v>29</v>
      </c>
      <c r="B39" s="1282" t="s">
        <v>30</v>
      </c>
      <c r="C39" s="1283">
        <v>2545</v>
      </c>
      <c r="D39" s="1283">
        <v>42431916</v>
      </c>
      <c r="E39" s="1283">
        <v>6290</v>
      </c>
      <c r="F39" s="1283">
        <v>29514022</v>
      </c>
    </row>
    <row r="40" spans="1:6">
      <c r="A40" s="1282" t="s">
        <v>29</v>
      </c>
      <c r="B40" s="1282" t="s">
        <v>28</v>
      </c>
      <c r="C40" s="1283">
        <v>0</v>
      </c>
      <c r="D40" s="1283">
        <v>0</v>
      </c>
      <c r="E40" s="1283">
        <v>0</v>
      </c>
      <c r="F40" s="1283">
        <v>0</v>
      </c>
    </row>
    <row r="41" spans="1:6">
      <c r="A41" s="1282" t="s">
        <v>31</v>
      </c>
      <c r="B41" s="1282" t="s">
        <v>32</v>
      </c>
      <c r="C41" s="1283">
        <v>29</v>
      </c>
      <c r="D41" s="1283">
        <v>1570833</v>
      </c>
      <c r="E41" s="1283">
        <v>83</v>
      </c>
      <c r="F41" s="1283">
        <v>2313860</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6</v>
      </c>
      <c r="D44" s="1283">
        <v>255950</v>
      </c>
      <c r="E44" s="1283">
        <v>16</v>
      </c>
      <c r="F44" s="1283">
        <v>267218</v>
      </c>
    </row>
    <row r="45" spans="1:6">
      <c r="A45" s="1282" t="s">
        <v>31</v>
      </c>
      <c r="B45" s="1282" t="s">
        <v>36</v>
      </c>
      <c r="C45" s="1283">
        <v>0</v>
      </c>
      <c r="D45" s="1283">
        <v>0</v>
      </c>
      <c r="E45" s="1283">
        <v>6</v>
      </c>
      <c r="F45" s="1283">
        <v>186692</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1802443</v>
      </c>
    </row>
    <row r="48" spans="1:6">
      <c r="A48" s="1282" t="s">
        <v>31</v>
      </c>
      <c r="B48" s="1282" t="s">
        <v>28</v>
      </c>
      <c r="C48" s="1283">
        <v>4</v>
      </c>
      <c r="D48" s="1283">
        <v>645636</v>
      </c>
      <c r="E48" s="1283">
        <v>3</v>
      </c>
      <c r="F48" s="1283">
        <v>124039</v>
      </c>
    </row>
    <row r="49" spans="1:6">
      <c r="A49" s="1282" t="s">
        <v>31</v>
      </c>
      <c r="B49" s="1282" t="s">
        <v>39</v>
      </c>
      <c r="C49" s="1283">
        <v>0</v>
      </c>
      <c r="D49" s="1283">
        <v>0</v>
      </c>
      <c r="E49" s="1283">
        <v>3</v>
      </c>
      <c r="F49" s="1283">
        <v>2113658</v>
      </c>
    </row>
    <row r="50" spans="1:6">
      <c r="A50" s="1282" t="s">
        <v>31</v>
      </c>
      <c r="B50" s="1282" t="s">
        <v>40</v>
      </c>
      <c r="C50" s="1283">
        <v>3</v>
      </c>
      <c r="D50" s="1283">
        <v>166772</v>
      </c>
      <c r="E50" s="1283">
        <v>8</v>
      </c>
      <c r="F50" s="1283">
        <v>225421</v>
      </c>
    </row>
    <row r="51" spans="1:6">
      <c r="A51" s="1282" t="s">
        <v>41</v>
      </c>
      <c r="B51" s="1282" t="s">
        <v>42</v>
      </c>
      <c r="C51" s="1283">
        <v>0</v>
      </c>
      <c r="D51" s="1283">
        <v>0</v>
      </c>
      <c r="E51" s="1283">
        <v>165</v>
      </c>
      <c r="F51" s="1283">
        <v>4038582</v>
      </c>
    </row>
    <row r="52" spans="1:6">
      <c r="A52" s="1282" t="s">
        <v>41</v>
      </c>
      <c r="B52" s="1282" t="s">
        <v>28</v>
      </c>
      <c r="C52" s="1283">
        <v>2</v>
      </c>
      <c r="D52" s="1283">
        <v>48106</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106</v>
      </c>
      <c r="F54" s="1283">
        <v>1071362</v>
      </c>
    </row>
    <row r="55" spans="1:6">
      <c r="A55" s="1282" t="s">
        <v>45</v>
      </c>
      <c r="B55" s="1282" t="s">
        <v>28</v>
      </c>
      <c r="C55" s="1283">
        <v>0</v>
      </c>
      <c r="D55" s="1283">
        <v>0</v>
      </c>
      <c r="E55" s="1283">
        <v>0</v>
      </c>
      <c r="F55" s="1283">
        <v>0</v>
      </c>
    </row>
    <row r="56" spans="1:6">
      <c r="A56" s="1282" t="s">
        <v>47</v>
      </c>
      <c r="B56" s="1282" t="s">
        <v>28</v>
      </c>
      <c r="C56" s="1283">
        <v>40</v>
      </c>
      <c r="D56" s="1283">
        <v>1671349</v>
      </c>
      <c r="E56" s="1283">
        <v>142</v>
      </c>
      <c r="F56" s="1283">
        <v>13267729</v>
      </c>
    </row>
    <row r="57" spans="1:6">
      <c r="A57" s="1282" t="s">
        <v>48</v>
      </c>
      <c r="B57" s="1282" t="s">
        <v>49</v>
      </c>
      <c r="C57" s="1283">
        <v>13</v>
      </c>
      <c r="D57" s="1283">
        <v>499576</v>
      </c>
      <c r="E57" s="1283">
        <v>75</v>
      </c>
      <c r="F57" s="1283">
        <v>1410304</v>
      </c>
    </row>
    <row r="58" spans="1:6">
      <c r="A58" s="1282" t="s">
        <v>48</v>
      </c>
      <c r="B58" s="1282" t="s">
        <v>50</v>
      </c>
      <c r="C58" s="1283">
        <v>12</v>
      </c>
      <c r="D58" s="1283">
        <v>3498610</v>
      </c>
      <c r="E58" s="1283">
        <v>31</v>
      </c>
      <c r="F58" s="1283">
        <v>1574361</v>
      </c>
    </row>
    <row r="59" spans="1:6">
      <c r="A59" s="1282" t="s">
        <v>48</v>
      </c>
      <c r="B59" s="1282" t="s">
        <v>51</v>
      </c>
      <c r="C59" s="1283">
        <v>41</v>
      </c>
      <c r="D59" s="1283">
        <v>3570490</v>
      </c>
      <c r="E59" s="1283">
        <v>173</v>
      </c>
      <c r="F59" s="1283">
        <v>6375243</v>
      </c>
    </row>
    <row r="60" spans="1:6">
      <c r="A60" s="1282" t="s">
        <v>48</v>
      </c>
      <c r="B60" s="1282" t="s">
        <v>52</v>
      </c>
      <c r="C60" s="1283">
        <v>35</v>
      </c>
      <c r="D60" s="1283">
        <v>27315043</v>
      </c>
      <c r="E60" s="1283">
        <v>56</v>
      </c>
      <c r="F60" s="1283">
        <v>1605771</v>
      </c>
    </row>
    <row r="61" spans="1:6">
      <c r="A61" s="1282" t="s">
        <v>48</v>
      </c>
      <c r="B61" s="1282" t="s">
        <v>53</v>
      </c>
      <c r="C61" s="1283">
        <v>91</v>
      </c>
      <c r="D61" s="1283">
        <v>3754137</v>
      </c>
      <c r="E61" s="1283">
        <v>233</v>
      </c>
      <c r="F61" s="1283">
        <v>5304121</v>
      </c>
    </row>
    <row r="62" spans="1:6">
      <c r="A62" s="1282" t="s">
        <v>48</v>
      </c>
      <c r="B62" s="1282" t="s">
        <v>54</v>
      </c>
      <c r="C62" s="1283">
        <v>9</v>
      </c>
      <c r="D62" s="1283">
        <v>1918151</v>
      </c>
      <c r="E62" s="1283">
        <v>12</v>
      </c>
      <c r="F62" s="1283">
        <v>412075</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3</v>
      </c>
      <c r="D65" s="1283">
        <v>73914</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223349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84711105</v>
      </c>
      <c r="E73" s="447"/>
      <c r="F73" s="326"/>
    </row>
    <row r="74" spans="1:6">
      <c r="A74" s="1282" t="s">
        <v>63</v>
      </c>
      <c r="B74" s="1282" t="s">
        <v>760</v>
      </c>
      <c r="C74" s="1296" t="s">
        <v>761</v>
      </c>
      <c r="D74" s="1297">
        <v>6666533.4366574688</v>
      </c>
      <c r="E74" s="447"/>
      <c r="F74" s="326"/>
    </row>
    <row r="75" spans="1:6">
      <c r="A75" s="1282" t="s">
        <v>64</v>
      </c>
      <c r="B75" s="1282" t="s">
        <v>758</v>
      </c>
      <c r="C75" s="1296" t="s">
        <v>762</v>
      </c>
      <c r="D75" s="1297">
        <v>40023267</v>
      </c>
      <c r="E75" s="447"/>
      <c r="F75" s="326"/>
    </row>
    <row r="76" spans="1:6">
      <c r="A76" s="1282" t="s">
        <v>64</v>
      </c>
      <c r="B76" s="1282" t="s">
        <v>760</v>
      </c>
      <c r="C76" s="1296" t="s">
        <v>763</v>
      </c>
      <c r="D76" s="1297">
        <v>632577.43665746879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799131.12668506254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3151.4627501629093</v>
      </c>
      <c r="C91" s="326"/>
      <c r="D91" s="326"/>
      <c r="E91" s="326"/>
      <c r="F91" s="326"/>
    </row>
    <row r="92" spans="1:6">
      <c r="A92" s="1277" t="s">
        <v>68</v>
      </c>
      <c r="B92" s="1278">
        <v>991.36946631797002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903</v>
      </c>
      <c r="C97" s="326"/>
      <c r="D97" s="326"/>
      <c r="E97" s="326"/>
      <c r="F97" s="326"/>
    </row>
    <row r="98" spans="1:6">
      <c r="A98" s="1282" t="s">
        <v>71</v>
      </c>
      <c r="B98" s="1283">
        <v>5</v>
      </c>
      <c r="C98" s="326"/>
      <c r="D98" s="326"/>
      <c r="E98" s="326"/>
      <c r="F98" s="326"/>
    </row>
    <row r="99" spans="1:6">
      <c r="A99" s="1282" t="s">
        <v>72</v>
      </c>
      <c r="B99" s="1283">
        <v>58</v>
      </c>
      <c r="C99" s="326"/>
      <c r="D99" s="326"/>
      <c r="E99" s="326"/>
      <c r="F99" s="326"/>
    </row>
    <row r="100" spans="1:6">
      <c r="A100" s="1282" t="s">
        <v>73</v>
      </c>
      <c r="B100" s="1283">
        <v>226</v>
      </c>
      <c r="C100" s="326"/>
      <c r="D100" s="326"/>
      <c r="E100" s="326"/>
      <c r="F100" s="326"/>
    </row>
    <row r="101" spans="1:6">
      <c r="A101" s="1282" t="s">
        <v>74</v>
      </c>
      <c r="B101" s="1283">
        <v>79</v>
      </c>
      <c r="C101" s="326"/>
      <c r="D101" s="326"/>
      <c r="E101" s="326"/>
      <c r="F101" s="326"/>
    </row>
    <row r="102" spans="1:6">
      <c r="A102" s="1282" t="s">
        <v>75</v>
      </c>
      <c r="B102" s="1283">
        <v>57</v>
      </c>
      <c r="C102" s="326"/>
      <c r="D102" s="326"/>
      <c r="E102" s="326"/>
      <c r="F102" s="326"/>
    </row>
    <row r="103" spans="1:6">
      <c r="A103" s="1282" t="s">
        <v>76</v>
      </c>
      <c r="B103" s="1283">
        <v>102</v>
      </c>
      <c r="C103" s="326"/>
      <c r="D103" s="326"/>
      <c r="E103" s="326"/>
      <c r="F103" s="326"/>
    </row>
    <row r="104" spans="1:6">
      <c r="A104" s="1282" t="s">
        <v>77</v>
      </c>
      <c r="B104" s="1283">
        <v>3908</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72</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74773.153280451515</v>
      </c>
      <c r="C3" s="43" t="s">
        <v>169</v>
      </c>
      <c r="D3" s="43"/>
      <c r="E3" s="156"/>
      <c r="F3" s="43"/>
      <c r="G3" s="43"/>
      <c r="H3" s="43"/>
      <c r="I3" s="43"/>
      <c r="J3" s="43"/>
      <c r="K3" s="96"/>
    </row>
    <row r="4" spans="1:11">
      <c r="A4" s="354" t="s">
        <v>170</v>
      </c>
      <c r="B4" s="49">
        <f>IF(ISERROR('SEAP template'!B78+'SEAP template'!C78),0,'SEAP template'!B78+'SEAP template'!C78)</f>
        <v>4142.8322164808797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0.20875541916216556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1071.3620000000001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0.20875541916216556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223.65262338441602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B32*B41</f>
        <v>1859.8990952408099</v>
      </c>
      <c r="F5" s="17">
        <f>B36*B45</f>
        <v>63486.531570186336</v>
      </c>
      <c r="G5" s="18"/>
      <c r="H5" s="17"/>
      <c r="I5" s="17"/>
      <c r="J5" s="17">
        <f>B35*B44+C35*C44</f>
        <v>1429.5557343708147</v>
      </c>
      <c r="K5" s="17"/>
      <c r="L5" s="17"/>
      <c r="M5" s="17"/>
      <c r="N5" s="17">
        <f>B34*B43+C34*C43</f>
        <v>8032.419993111911</v>
      </c>
      <c r="O5" s="17">
        <f>B52*B53*B54</f>
        <v>121.94000000000001</v>
      </c>
      <c r="P5" s="17">
        <f>B60*B61*B62/1000-B60*B61*B62/1000/B63</f>
        <v>495.73333333333335</v>
      </c>
    </row>
    <row r="6" spans="1:16">
      <c r="A6" s="16" t="s">
        <v>621</v>
      </c>
      <c r="B6" s="768">
        <f>kWh_PV_kleiner_dan_10kW</f>
        <v>3151.4627501629093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32665.484750162912</v>
      </c>
      <c r="C8" s="21">
        <f>C5</f>
        <v>0</v>
      </c>
      <c r="D8" s="21">
        <f>D5</f>
        <v>38273.588232000002</v>
      </c>
      <c r="E8" s="21">
        <f>E5</f>
        <v>1859.8990952408099</v>
      </c>
      <c r="F8" s="21">
        <f>F5</f>
        <v>63486.531570186336</v>
      </c>
      <c r="G8" s="21"/>
      <c r="H8" s="21"/>
      <c r="I8" s="21"/>
      <c r="J8" s="21">
        <f>J5</f>
        <v>1429.5557343708147</v>
      </c>
      <c r="K8" s="21"/>
      <c r="L8" s="21">
        <f>L5</f>
        <v>0</v>
      </c>
      <c r="M8" s="21">
        <f>M5</f>
        <v>0</v>
      </c>
      <c r="N8" s="21">
        <f>N5</f>
        <v>8032.419993111911</v>
      </c>
      <c r="O8" s="21">
        <f>O5</f>
        <v>121.94000000000001</v>
      </c>
      <c r="P8" s="21">
        <f>P5</f>
        <v>495.73333333333335</v>
      </c>
    </row>
    <row r="9" spans="1:16">
      <c r="B9" s="19"/>
      <c r="C9" s="19"/>
      <c r="D9" s="256"/>
      <c r="E9" s="19"/>
      <c r="F9" s="19"/>
      <c r="G9" s="19"/>
      <c r="H9" s="19"/>
      <c r="I9" s="19"/>
      <c r="J9" s="19"/>
      <c r="K9" s="19"/>
      <c r="L9" s="19"/>
      <c r="M9" s="19"/>
      <c r="N9" s="19"/>
      <c r="O9" s="19"/>
      <c r="P9" s="19"/>
    </row>
    <row r="10" spans="1:16">
      <c r="A10" s="24" t="s">
        <v>213</v>
      </c>
      <c r="B10" s="25">
        <f ca="1">'EF ele_warmte'!B12</f>
        <v>0.20875541916216556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6819.0969611555856</v>
      </c>
      <c r="C12" s="23">
        <f ca="1">C10*C8</f>
        <v>0</v>
      </c>
      <c r="D12" s="23">
        <f>D8*D10</f>
        <v>7731.264822864001</v>
      </c>
      <c r="E12" s="23">
        <f>E10*E8</f>
        <v>422.19709461966386</v>
      </c>
      <c r="F12" s="23">
        <f>F10*F8</f>
        <v>16950.903929239754</v>
      </c>
      <c r="G12" s="23"/>
      <c r="H12" s="23"/>
      <c r="I12" s="23"/>
      <c r="J12" s="23">
        <f>J10*J8</f>
        <v>506.06272996726835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6297</v>
      </c>
      <c r="C26" s="36"/>
      <c r="D26" s="226"/>
    </row>
    <row r="27" spans="1:5" s="15" customFormat="1">
      <c r="A27" s="228" t="s">
        <v>701</v>
      </c>
      <c r="B27" s="37">
        <f>SUM(HH_hh_gas_aantal,HH_rest_gas_aantal)</f>
        <v>2545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2417.75</v>
      </c>
      <c r="C31" s="34" t="s">
        <v>110</v>
      </c>
      <c r="D31" s="172"/>
    </row>
    <row r="32" spans="1:5">
      <c r="A32" s="169" t="s">
        <v>72</v>
      </c>
      <c r="B32" s="33">
        <f>IF((B21*($B$26-($B$27-0.05*$B$27)-$B$60))&lt;0,0,B21*($B$26-($B$27-0.05*$B$27)-$B$60))</f>
        <v>27.317880405690559</v>
      </c>
      <c r="C32" s="34" t="s">
        <v>110</v>
      </c>
      <c r="D32" s="172"/>
    </row>
    <row r="33" spans="1:6">
      <c r="A33" s="169" t="s">
        <v>73</v>
      </c>
      <c r="B33" s="33">
        <f>IF((B22*($B$26-($B$27-0.05*$B$27)-$B$60))&lt;0,0,B22*($B$26-($B$27-0.05*$B$27)-$B$60))</f>
        <v>782.92673570866907</v>
      </c>
      <c r="C33" s="34" t="s">
        <v>110</v>
      </c>
      <c r="D33" s="172"/>
    </row>
    <row r="34" spans="1:6">
      <c r="A34" s="169" t="s">
        <v>74</v>
      </c>
      <c r="B34" s="33">
        <f>IF((B24*($B$26-($B$27-0.05*$B$27)-$B$60))&lt;0,0,B24*($B$26-($B$27-0.05*$B$27)-$B$60))</f>
        <v>156.12386531988668</v>
      </c>
      <c r="C34" s="33">
        <f>B26*C24</f>
        <v>1287.5955399548052</v>
      </c>
      <c r="D34" s="231"/>
    </row>
    <row r="35" spans="1:6">
      <c r="A35" s="169" t="s">
        <v>76</v>
      </c>
      <c r="B35" s="33">
        <f>IF((B19*($B$26-($B$27-0.05*$B$27)-$B$60))&lt;0,0,B19*($B$26-($B$27-0.05*$B$27)-$B$60))</f>
        <v>81.303215493126686</v>
      </c>
      <c r="C35" s="33">
        <f>B35/2</f>
        <v>40.651607746563343</v>
      </c>
      <c r="D35" s="231"/>
    </row>
    <row r="36" spans="1:6">
      <c r="A36" s="169" t="s">
        <v>77</v>
      </c>
      <c r="B36" s="33">
        <f>IF((B18*($B$26-($B$27-0.05*$B$27)-$B$60))&lt;0,0,B18*($B$26-($B$27-0.05*$B$27)-$B$60))</f>
        <v>2805.578303072627</v>
      </c>
      <c r="C36" s="34" t="s">
        <v>110</v>
      </c>
      <c r="D36" s="172"/>
    </row>
    <row r="37" spans="1:6">
      <c r="A37" s="169" t="s">
        <v>78</v>
      </c>
      <c r="B37" s="33">
        <f>B60</f>
        <v>26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53</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52</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51</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50</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49</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54</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0.20875541916216556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3482.4318080358507</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5304.1210000000001</v>
      </c>
      <c r="C26" s="39">
        <f>IF(ISERROR(B26*3.6/1000000/'E Balans VL '!Z12*100),0,B26*3.6/1000000/'E Balans VL '!Z12*100)</f>
        <v>0.11161643022243443</v>
      </c>
      <c r="D26" s="234" t="s">
        <v>706</v>
      </c>
      <c r="F26" s="6"/>
    </row>
    <row r="27" spans="1:18">
      <c r="A27" s="229" t="s">
        <v>52</v>
      </c>
      <c r="B27" s="33">
        <f>IF(ISERROR(TER_horeca_ele_kWh/1000),0,TER_horeca_ele_kWh/1000)</f>
        <v>1605.771</v>
      </c>
      <c r="C27" s="39">
        <f>IF(ISERROR(B27*3.6/1000000/'E Balans VL '!Z9*100),0,B27*3.6/1000000/'E Balans VL '!Z9*100)</f>
        <v>0.13595611839527558</v>
      </c>
      <c r="D27" s="234" t="s">
        <v>706</v>
      </c>
      <c r="F27" s="6"/>
    </row>
    <row r="28" spans="1:18">
      <c r="A28" s="169" t="s">
        <v>51</v>
      </c>
      <c r="B28" s="33">
        <f>IF(ISERROR(TER_handel_ele_kWh/1000),0,TER_handel_ele_kWh/1000)</f>
        <v>6375.2430000000004</v>
      </c>
      <c r="C28" s="39">
        <f>IF(ISERROR(B28*3.6/1000000/'E Balans VL '!Z13*100),0,B28*3.6/1000000/'E Balans VL '!Z13*100)</f>
        <v>0.17649772089248181</v>
      </c>
      <c r="D28" s="234" t="s">
        <v>706</v>
      </c>
      <c r="F28" s="6"/>
    </row>
    <row r="29" spans="1:18">
      <c r="A29" s="229" t="s">
        <v>50</v>
      </c>
      <c r="B29" s="33">
        <f>IF(ISERROR(TER_gezond_ele_kWh/1000),0,TER_gezond_ele_kWh/1000)</f>
        <v>1574.3610000000001</v>
      </c>
      <c r="C29" s="39">
        <f>IF(ISERROR(B29*3.6/1000000/'E Balans VL '!Z10*100),0,B29*3.6/1000000/'E Balans VL '!Z10*100)</f>
        <v>0.20464947617337825</v>
      </c>
      <c r="D29" s="234" t="s">
        <v>706</v>
      </c>
      <c r="F29" s="6"/>
    </row>
    <row r="30" spans="1:18">
      <c r="A30" s="229" t="s">
        <v>49</v>
      </c>
      <c r="B30" s="33">
        <f>IF(ISERROR(TER_ander_ele_kWh/1000),0,TER_ander_ele_kWh/1000)</f>
        <v>1410.3040000000001</v>
      </c>
      <c r="C30" s="39">
        <f>IF(ISERROR(B30*3.6/1000000/'E Balans VL '!Z14*100),0,B30*3.6/1000000/'E Balans VL '!Z14*100)</f>
        <v>0.10931149347568139</v>
      </c>
      <c r="D30" s="234" t="s">
        <v>706</v>
      </c>
      <c r="F30" s="6"/>
    </row>
    <row r="31" spans="1:18">
      <c r="A31" s="229" t="s">
        <v>54</v>
      </c>
      <c r="B31" s="33">
        <f>IF(ISERROR(TER_onderwijs_ele_kWh/1000),0,TER_onderwijs_ele_kWh/1000)</f>
        <v>412.07499999999999</v>
      </c>
      <c r="C31" s="39">
        <f>IF(ISERROR(B31*3.6/1000000/'E Balans VL '!Z11*100),0,B31*3.6/1000000/'E Balans VL '!Z11*100)</f>
        <v>7.8836969109407698E-2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32</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40</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39</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36</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38</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0.20875541916216556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1468.2459610112528</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267.21800000000002</v>
      </c>
      <c r="C30" s="39">
        <f>IF(ISERROR(B30*3.6/1000000/'E Balans VL '!Z18*100),0,B30*3.6/1000000/'E Balans VL '!Z18*100)</f>
        <v>1.7788865436984744E-2</v>
      </c>
      <c r="D30" s="234" t="s">
        <v>706</v>
      </c>
    </row>
    <row r="31" spans="1:18">
      <c r="A31" s="6" t="s">
        <v>32</v>
      </c>
      <c r="B31" s="37">
        <f>IF( ISERROR(IND_ander_ele_kWh/1000),0,IND_ander_ele_kWh/1000)</f>
        <v>2313.86</v>
      </c>
      <c r="C31" s="39">
        <f>IF(ISERROR(B31*3.6/1000000/'E Balans VL '!Z19*100),0,B31*3.6/1000000/'E Balans VL '!Z19*100)</f>
        <v>0.10256424409579752</v>
      </c>
      <c r="D31" s="234" t="s">
        <v>706</v>
      </c>
    </row>
    <row r="32" spans="1:18">
      <c r="A32" s="169" t="s">
        <v>40</v>
      </c>
      <c r="B32" s="37">
        <f>IF( ISERROR(IND_voed_ele_kWh/1000),0,IND_voed_ele_kWh/1000)</f>
        <v>225.42099999999999</v>
      </c>
      <c r="C32" s="39">
        <f>IF(ISERROR(B32*3.6/1000000/'E Balans VL '!Z20*100),0,B32*3.6/1000000/'E Balans VL '!Z20*100)</f>
        <v>7.5297080491562429E-3</v>
      </c>
      <c r="D32" s="234" t="s">
        <v>706</v>
      </c>
    </row>
    <row r="33" spans="1:5">
      <c r="A33" s="169" t="s">
        <v>39</v>
      </c>
      <c r="B33" s="37">
        <f>IF( ISERROR(IND_textiel_ele_kWh/1000),0,IND_textiel_ele_kWh/1000)</f>
        <v>2113.6579999999999</v>
      </c>
      <c r="C33" s="39">
        <f>IF(ISERROR(B33*3.6/1000000/'E Balans VL '!Z21*100),0,B33*3.6/1000000/'E Balans VL '!Z21*100)</f>
        <v>0.27826794987984865</v>
      </c>
      <c r="D33" s="234" t="s">
        <v>706</v>
      </c>
    </row>
    <row r="34" spans="1:5">
      <c r="A34" s="169" t="s">
        <v>36</v>
      </c>
      <c r="B34" s="37">
        <f>IF( ISERROR(IND_min_ele_kWh/1000),0,IND_min_ele_kWh/1000)</f>
        <v>186.69200000000001</v>
      </c>
      <c r="C34" s="39">
        <f>IF(ISERROR(B34*3.6/1000000/'E Balans VL '!Z22*100),0,B34*3.6/1000000/'E Balans VL '!Z22*100)</f>
        <v>3.6309543304948559E-2</v>
      </c>
      <c r="D34" s="234" t="s">
        <v>706</v>
      </c>
    </row>
    <row r="35" spans="1:5">
      <c r="A35" s="169" t="s">
        <v>38</v>
      </c>
      <c r="B35" s="37">
        <f>IF( ISERROR(IND_papier_ele_kWh/1000),0,IND_papier_ele_kWh/1000)</f>
        <v>1802.443</v>
      </c>
      <c r="C35" s="39">
        <f>IF(ISERROR(B35*3.6/1000000/'E Balans VL '!Z22*100),0,B35*3.6/1000000/'E Balans VL '!Z22*100)</f>
        <v>0.35055536478907173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124.039</v>
      </c>
      <c r="C37" s="39">
        <f>IF(ISERROR(B37*3.6/1000000/'E Balans VL '!Z15*100),0,B37*3.6/1000000/'E Balans VL '!Z15*100)</f>
        <v>9.2264808318350184E-4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4038.5819999999999</v>
      </c>
      <c r="C5" s="17">
        <f>'Eigen informatie GS &amp; warmtenet'!B60</f>
        <v>0</v>
      </c>
      <c r="D5" s="30">
        <f>IF(ISERROR(SUM(LB_lb_gas_kWh,LB_rest_gas_kWh)/1000),0,SUM(LB_lb_gas_kWh,LB_rest_gas_kWh)/1000)*0.902</f>
        <v>43.391612000000002</v>
      </c>
      <c r="E5" s="17">
        <f>B17*'E Balans VL '!I25/3.6*1000000/100</f>
        <v>42.292905021348545</v>
      </c>
      <c r="F5" s="17">
        <f>B17*('E Balans VL '!L25/3.6*1000000+'E Balans VL '!N25/3.6*1000000)/100</f>
        <v>17288.199630597876</v>
      </c>
      <c r="G5" s="18"/>
      <c r="H5" s="17"/>
      <c r="I5" s="17"/>
      <c r="J5" s="17">
        <f>('E Balans VL '!D25+'E Balans VL '!E25)/3.6*1000000*landbouw!B17/100</f>
        <v>360.68157102799893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4038.5819999999999</v>
      </c>
      <c r="C8" s="21">
        <f>C5+C6</f>
        <v>0</v>
      </c>
      <c r="D8" s="21">
        <f>MAX((D5+D6),0)</f>
        <v>43.391612000000002</v>
      </c>
      <c r="E8" s="21">
        <f>MAX((E5+E6),0)</f>
        <v>42.292905021348545</v>
      </c>
      <c r="F8" s="21">
        <f>MAX((F5+F6),0)</f>
        <v>17288.199630597876</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0.20875541916216556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843.07587823077688</v>
      </c>
      <c r="C12" s="23">
        <f ca="1">C8*C10</f>
        <v>0</v>
      </c>
      <c r="D12" s="23">
        <f>D8*D10</f>
        <v>8.7651056240000003</v>
      </c>
      <c r="E12" s="23">
        <f>E8*E10</f>
        <v>9.60048943984612</v>
      </c>
      <c r="F12" s="23">
        <f>F8*F10</f>
        <v>4615.9493013696328</v>
      </c>
      <c r="G12" s="23"/>
      <c r="H12" s="23"/>
      <c r="I12" s="23"/>
      <c r="J12" s="23">
        <f>J8*J10</f>
        <v>127.68127614391162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0.62161572883930871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803.87835197547702</v>
      </c>
      <c r="C26" s="244">
        <f>B26*'GWP N2O_CH4'!B5</f>
        <v>16881.445391485016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328.04040588463539</v>
      </c>
      <c r="C27" s="244">
        <f>B27*'GWP N2O_CH4'!B5</f>
        <v>6888.8485235773433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12.407205742047887</v>
      </c>
      <c r="C28" s="244">
        <f>B28*'GWP N2O_CH4'!B4</f>
        <v>3846.233780034845</v>
      </c>
      <c r="D28" s="50"/>
    </row>
    <row r="29" spans="1:4">
      <c r="A29" s="41" t="s">
        <v>272</v>
      </c>
      <c r="B29" s="244">
        <f>B34*'ha_N2O bodem landbouw'!B4</f>
        <v>46.460830057036823</v>
      </c>
      <c r="C29" s="244">
        <f>B29*'GWP N2O_CH4'!B4</f>
        <v>14402.857317681415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7.6782623693773533E-3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4.8918822693831677E-6</v>
      </c>
      <c r="C5" s="435" t="s">
        <v>210</v>
      </c>
      <c r="D5" s="420">
        <f>SUM(D6:D11)</f>
        <v>1.8376665419203325E-5</v>
      </c>
      <c r="E5" s="420">
        <f>SUM(E6:E11)</f>
        <v>1.8670079049460764E-3</v>
      </c>
      <c r="F5" s="433" t="s">
        <v>210</v>
      </c>
      <c r="G5" s="420">
        <f>SUM(G6:G11)</f>
        <v>0.31369105985770829</v>
      </c>
      <c r="H5" s="420">
        <f>SUM(H6:H11)</f>
        <v>5.9711903597556647E-2</v>
      </c>
      <c r="I5" s="435" t="s">
        <v>210</v>
      </c>
      <c r="J5" s="435" t="s">
        <v>210</v>
      </c>
      <c r="K5" s="435" t="s">
        <v>210</v>
      </c>
      <c r="L5" s="435" t="s">
        <v>210</v>
      </c>
      <c r="M5" s="420">
        <f>SUM(M6:M11)</f>
        <v>1.6261797012892869E-2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3.2191490030350712E-6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1.0192537089894098E-5</v>
      </c>
      <c r="E6" s="423">
        <f>vkm_GW_PW*SUMIFS(TableVerdeelsleutelVkm[LPG],TableVerdeelsleutelVkm[Voertuigtype],"Lichte voertuigen")*SUMIFS(TableECFTransport[EnergieConsumptieFactor (PJ per km)],TableECFTransport[Index],CONCATENATE($A6,"_LPG_LPG"))</f>
        <v>1.0621509952875642E-3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0.14147877735853862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3.3940453199210088E-2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7.6569011687978661E-3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1.386343076457821E-7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6.249317992923651E-2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1.692001679258472E-6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2.6922321783797352E-3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1.5209441555656307E-6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8.184128329309227E-6</v>
      </c>
      <c r="E8" s="423">
        <f>vkm_NGW_PW*SUMIFS(TableVerdeelsleutelVkm[LPG],TableVerdeelsleutelVkm[Voertuigtype],"Lichte voertuigen")*SUMIFS(TableECFTransport[EnergieConsumptieFactor (PJ per km)],TableECFTransport[Index],CONCATENATE($A8,"_LPG_LPG"))</f>
        <v>8.0485690965851221E-4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0.10150528078630855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2.5769564606886577E-2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5.5588101239442515E-3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1.3154803136684199E-8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8.2138217836246249E-3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1.9378978072479602E-7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3.5385354177101829E-4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1.358856185939769</v>
      </c>
      <c r="C14" s="21"/>
      <c r="D14" s="21">
        <f t="shared" ref="D14:M14" si="0">((D5)*10^9/3600)+D12</f>
        <v>5.1046292831120343</v>
      </c>
      <c r="E14" s="21">
        <f t="shared" si="0"/>
        <v>518.61330692946569</v>
      </c>
      <c r="F14" s="21"/>
      <c r="G14" s="21">
        <f t="shared" si="0"/>
        <v>87136.405516030078</v>
      </c>
      <c r="H14" s="21">
        <f t="shared" si="0"/>
        <v>16586.639888210178</v>
      </c>
      <c r="I14" s="21"/>
      <c r="J14" s="21"/>
      <c r="K14" s="21"/>
      <c r="L14" s="21"/>
      <c r="M14" s="21">
        <f t="shared" si="0"/>
        <v>4517.1658369146853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0.20875541916216556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0.28366859267695804</v>
      </c>
      <c r="C18" s="23"/>
      <c r="D18" s="23">
        <f t="shared" ref="D18:M18" si="1">D14*D16</f>
        <v>1.031135115188631</v>
      </c>
      <c r="E18" s="23">
        <f t="shared" si="1"/>
        <v>117.72522067298871</v>
      </c>
      <c r="F18" s="23"/>
      <c r="G18" s="23">
        <f t="shared" si="1"/>
        <v>23265.420272780033</v>
      </c>
      <c r="H18" s="23">
        <f t="shared" si="1"/>
        <v>4130.0733321643347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4.8350426769581672E-5</v>
      </c>
      <c r="C50" s="315">
        <f t="shared" ref="C50:P50" si="2">SUM(C51:C52)</f>
        <v>0</v>
      </c>
      <c r="D50" s="315">
        <f t="shared" si="2"/>
        <v>0</v>
      </c>
      <c r="E50" s="315">
        <f t="shared" si="2"/>
        <v>0</v>
      </c>
      <c r="F50" s="315">
        <f t="shared" si="2"/>
        <v>0</v>
      </c>
      <c r="G50" s="315">
        <f t="shared" si="2"/>
        <v>1.0489139656224611E-2</v>
      </c>
      <c r="H50" s="315">
        <f t="shared" si="2"/>
        <v>0</v>
      </c>
      <c r="I50" s="315">
        <f t="shared" si="2"/>
        <v>0</v>
      </c>
      <c r="J50" s="315">
        <f t="shared" si="2"/>
        <v>0</v>
      </c>
      <c r="K50" s="315">
        <f t="shared" si="2"/>
        <v>0</v>
      </c>
      <c r="L50" s="315">
        <f t="shared" si="2"/>
        <v>0</v>
      </c>
      <c r="M50" s="315">
        <f t="shared" si="2"/>
        <v>4.491046686820316E-4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4.8350426769581672E-5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1.0489139656224611E-2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4.491046686820316E-4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13.430674102661577</v>
      </c>
      <c r="C54" s="21">
        <f t="shared" ref="C54:P54" si="3">(C50)*10^9/3600</f>
        <v>0</v>
      </c>
      <c r="D54" s="21">
        <f t="shared" si="3"/>
        <v>0</v>
      </c>
      <c r="E54" s="21">
        <f t="shared" si="3"/>
        <v>0</v>
      </c>
      <c r="F54" s="21">
        <f t="shared" si="3"/>
        <v>0</v>
      </c>
      <c r="G54" s="21">
        <f t="shared" si="3"/>
        <v>2913.6499045068363</v>
      </c>
      <c r="H54" s="21">
        <f t="shared" si="3"/>
        <v>0</v>
      </c>
      <c r="I54" s="21">
        <f t="shared" si="3"/>
        <v>0</v>
      </c>
      <c r="J54" s="21">
        <f t="shared" si="3"/>
        <v>0</v>
      </c>
      <c r="K54" s="21">
        <f t="shared" si="3"/>
        <v>0</v>
      </c>
      <c r="L54" s="21">
        <f t="shared" si="3"/>
        <v>0</v>
      </c>
      <c r="M54" s="21">
        <f t="shared" si="3"/>
        <v>124.75129685611989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0.20875541916216556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2.8037260019315591</v>
      </c>
      <c r="C58" s="23">
        <f t="shared" ref="C58:P58" ca="1" si="4">C54*C56</f>
        <v>0</v>
      </c>
      <c r="D58" s="23">
        <f t="shared" si="4"/>
        <v>0</v>
      </c>
      <c r="E58" s="23">
        <f t="shared" si="4"/>
        <v>0</v>
      </c>
      <c r="F58" s="23">
        <f t="shared" si="4"/>
        <v>0</v>
      </c>
      <c r="G58" s="23">
        <f t="shared" si="4"/>
        <v>777.94452450332528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4142.8322164808797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4142.8322164808797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2021-06-29T17:06:14Z</dcterms:modified>
</cp:coreProperties>
</file>