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I9" i="18"/>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<sst xmlns="http://schemas.openxmlformats.org/spreadsheetml/2006/main" count="2599" uniqueCount="993">
  <si>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</si>
  <si>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</si>
  <si>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</si>
  <si>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</si>
  <si>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</si>
  <si>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</si>
  <si>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</si>
  <si>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</si>
  <si>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</si>
  <si>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</si>
  <si>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</si>
  <si>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</si>
  <si>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</si>
  <si>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</si>
  <si>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</si>
  <si>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</si>
  <si>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</si>
  <si>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</si>
  <si>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</si>
  <si>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</si>
  <si>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</si>
  <si>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</si>
  <si>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</si>
  <si>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</si>
  <si>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</si>
  <si>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</si>
  <si>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</si>
  <si>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</si>
  <si>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</si>
  <si>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</si>
  <si>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</si>
  <si>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</si>
  <si>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</si>
  <si>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</si>
  <si>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</si>
  <si>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</si>
  <si>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</si>
  <si>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</si>
  <si>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</si>
  <si>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</si>
  <si>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</si>
  <si>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</si>
  <si>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</si>
  <si>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</si>
  <si>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</si>
  <si>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</si>
  <si>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</si>
  <si>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</si>
  <si>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</si>
  <si>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</si>
  <si>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</si>
  <si>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</si>
  <si>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</si>
  <si>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</si>
  <si>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</si>
  <si>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</si>
  <si>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</si>
  <si>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</si>
  <si>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</si>
  <si>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</si>
  <si>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</si>
  <si>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</si>
  <si>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</si>
  <si>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</si>
  <si>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</si>
  <si>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</si>
  <si>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</si>
  <si>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</si>
  <si>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</si>
  <si>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</si>
  <si>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</si>
  <si>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</si>
  <si>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</si>
  <si>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</si>
  <si>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</si>
  <si>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</si>
  <si>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</si>
  <si>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</si>
  <si>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</si>
  <si>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</si>
  <si>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</si>
  <si>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</si>
  <si>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</si>
  <si>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</si>
  <si>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</si>
  <si>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</si>
  <si>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</si>
  <si>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</si>
  <si>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</si>
  <si>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</si>
  <si>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</si>
  <si>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</si>
  <si>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</si>
  <si>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</si>
  <si>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</si>
  <si>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</si>
  <si>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</si>
  <si>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</si>
  <si>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</si>
  <si>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</si>
  <si>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</si>
  <si>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</si>
  <si>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</si>
  <si>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</si>
  <si>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</si>
  <si>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</si>
  <si>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</si>
  <si>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</si>
  <si>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</si>
  <si>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</si>
  <si>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</si>
  <si>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</si>
  <si>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</si>
  <si>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</si>
  <si>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</si>
  <si>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</si>
  <si>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</si>
  <si>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</si>
  <si>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</si>
  <si>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</si>
  <si>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</si>
  <si>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</si>
  <si>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</si>
  <si>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</si>
  <si>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</si>
  <si>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</si>
  <si>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</si>
  <si>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</si>
  <si>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</si>
  <si>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</si>
  <si>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</si>
  <si>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</si>
  <si>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</si>
  <si>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</si>
  <si>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</si>
  <si>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</si>
  <si>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</si>
  <si>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</si>
  <si>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</si>
  <si>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</si>
  <si>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</si>
  <si>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</si>
  <si>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</si>
  <si>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</si>
  <si>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</si>
  <si>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</si>
  <si>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</si>
  <si>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</si>
  <si>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</si>
  <si>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</si>
  <si>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</si>
  <si>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</si>
  <si>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</si>
  <si>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</si>
  <si>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</si>
  <si>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</si>
  <si>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</si>
  <si>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</si>
  <si>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</si>
  <si>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</si>
  <si>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</si>
  <si>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</si>
  <si>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</si>
  <si>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</si>
  <si>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</si>
  <si>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</si>
  <si>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</si>
  <si>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</si>
  <si>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</si>
  <si>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</si>
  <si>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</si>
  <si>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</si>
  <si>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</si>
  <si>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</si>
  <si>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</si>
  <si>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</si>
  <si>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</si>
  <si>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</si>
  <si>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</si>
  <si>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</si>
  <si>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</si>
  <si>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</si>
  <si>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</si>
  <si>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</si>
  <si>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</si>
  <si>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</si>
  <si>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</si>
  <si>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</si>
  <si>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</si>
  <si>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</si>
  <si>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</si>
  <si>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</si>
  <si>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</si>
  <si>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</si>
  <si>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</si>
  <si>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</si>
  <si>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</si>
  <si>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</si>
  <si>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</si>
  <si>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</si>
  <si>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</si>
  <si>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</si>
  <si>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</si>
  <si>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</si>
  <si>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</si>
  <si>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</si>
  <si>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</si>
  <si>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</si>
  <si>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</si>
  <si>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</si>
  <si>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</si>
  <si>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</si>
  <si>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</si>
  <si>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</si>
  <si>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</si>
  <si>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</si>
  <si>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</si>
  <si>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</si>
  <si>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</si>
  <si>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</si>
  <si>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</si>
  <si>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</si>
  <si>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</si>
  <si>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</si>
  <si>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</si>
  <si>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</si>
  <si>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</si>
  <si>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</si>
  <si>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</si>
  <si>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</si>
  <si>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</si>
  <si>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</si>
  <si>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</si>
  <si>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</si>
  <si>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</si>
  <si>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</si>
  <si>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</si>
  <si>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</si>
  <si>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</si>
  <si>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</si>
  <si>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</si>
  <si>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</si>
  <si>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</si>
  <si>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</si>
  <si>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</si>
  <si>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</si>
  <si>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</si>
  <si>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</si>
  <si>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</si>
  <si>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</si>
  <si>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</si>
  <si>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</si>
  <si>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</si>
  <si>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</si>
  <si>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</si>
  <si>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</si>
  <si>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</si>
  <si>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</si>
  <si>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</si>
  <si>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</si>
  <si>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</si>
  <si>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</si>
  <si>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</si>
  <si>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</si>
  <si>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</si>
  <si>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</si>
  <si>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</si>
  <si>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</si>
  <si>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</si>
  <si>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</si>
  <si>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</si>
  <si>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</si>
  <si>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</si>
  <si>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</si>
  <si>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</si>
  <si>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</si>
  <si>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</si>
  <si>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</si>
  <si>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</si>
  <si>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</si>
  <si>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</si>
  <si>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</si>
  <si>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</si>
  <si>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</si>
  <si>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</si>
  <si>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</si>
  <si>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</si>
  <si>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</si>
  <si>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</si>
  <si>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</si>
  <si>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</si>
  <si>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</si>
  <si>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</si>
  <si>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</si>
  <si>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</si>
  <si>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</si>
  <si>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</si>
  <si>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</si>
  <si>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</si>
  <si>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</si>
  <si>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</si>
  <si>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</si>
  <si>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</si>
  <si>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</si>
  <si>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</si>
  <si>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</si>
  <si>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</si>
  <si>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</si>
  <si>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</si>
  <si>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</si>
  <si>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</si>
  <si>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</si>
  <si>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</si>
  <si>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</si>
  <si>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</si>
  <si>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</si>
  <si>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</si>
  <si>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</si>
  <si>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</si>
  <si>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</si>
  <si>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</si>
  <si>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</si>
  <si>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</si>
  <si>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</si>
  <si>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</si>
  <si>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</si>
  <si>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</si>
  <si>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</si>
  <si>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</si>
  <si>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</si>
  <si>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</si>
  <si>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</si>
  <si>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</si>
  <si>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</si>
  <si>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</si>
  <si>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</si>
  <si>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</si>
  <si>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</si>
  <si>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</si>
  <si>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</si>
  <si>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</si>
  <si>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</si>
  <si>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</si>
  <si>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</si>
  <si>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</si>
  <si>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</si>
  <si>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</si>
  <si>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</si>
  <si>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</si>
  <si>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</si>
  <si>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</si>
  <si>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</si>
  <si>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</si>
  <si>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</si>
  <si>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</si>
  <si>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</si>
  <si>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</si>
  <si>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</si>
  <si>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</si>
  <si>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</si>
  <si>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</si>
  <si>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</si>
  <si>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</si>
  <si>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</si>
  <si>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</si>
  <si>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</si>
  <si>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</si>
  <si>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</si>
  <si>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</si>
  <si>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</si>
  <si>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</si>
  <si>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</si>
  <si>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</si>
  <si>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</si>
  <si>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</si>
  <si>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</si>
  <si>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</si>
  <si>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</si>
  <si>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</si>
  <si>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</si>
  <si>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</si>
  <si>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</si>
  <si>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</si>
  <si>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</si>
  <si>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</si>
  <si>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</si>
  <si>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</si>
  <si>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</si>
  <si>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</si>
  <si>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</si>
  <si>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</si>
  <si>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</si>
  <si>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</si>
  <si>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</si>
  <si>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</si>
  <si>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</si>
  <si>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</si>
  <si>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</si>
  <si>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</si>
  <si>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</si>
  <si>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</si>
  <si>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</si>
  <si>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</si>
  <si>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</si>
  <si>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</si>
  <si>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</si>
  <si>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</si>
  <si>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</si>
  <si>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</si>
  <si>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</si>
  <si>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</si>
  <si>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</si>
  <si>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</si>
  <si>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</si>
  <si>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</si>
  <si>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</si>
  <si>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</si>
  <si>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</si>
  <si>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</si>
  <si>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</si>
  <si>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</si>
  <si>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</si>
  <si>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</si>
  <si>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</si>
  <si>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</si>
  <si>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</si>
  <si>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</si>
  <si>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</si>
  <si>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</si>
  <si>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</si>
  <si>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</si>
  <si>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</si>
  <si>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</si>
  <si>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</si>
  <si>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</si>
  <si>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</si>
  <si>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</si>
  <si>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</si>
  <si>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</si>
  <si>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</si>
  <si>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</si>
  <si>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</si>
  <si>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</si>
  <si>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</si>
  <si>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</si>
  <si>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</si>
  <si>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</si>
  <si>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</si>
  <si>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</si>
  <si>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</si>
  <si>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</si>
  <si>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</si>
  <si>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</si>
  <si>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</si>
  <si>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</si>
  <si>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</si>
  <si>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</si>
  <si>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</si>
  <si>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</si>
  <si>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</si>
  <si>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</si>
  <si>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</si>
  <si>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</si>
  <si>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</si>
  <si>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</si>
  <si>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</si>
  <si>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</si>
  <si>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</si>
  <si>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</si>
  <si>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</si>
  <si>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</si>
  <si>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</si>
  <si>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</si>
  <si>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</si>
  <si>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</si>
  <si>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</si>
  <si>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</si>
  <si>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</si>
  <si>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</si>
  <si>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</si>
  <si>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</si>
  <si>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</si>
  <si>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</si>
  <si>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</si>
  <si>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</si>
  <si>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</si>
  <si>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</si>
  <si>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</si>
  <si>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</si>
  <si>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</si>
  <si>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</si>
  <si>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</si>
  <si>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</si>
  <si>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</si>
  <si>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</si>
  <si>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</si>
  <si>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</si>
  <si>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</si>
  <si>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</si>
  <si>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</si>
  <si>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</si>
  <si>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</si>
  <si>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</si>
  <si>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</si>
  <si>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</si>
  <si>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</si>
  <si>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</si>
  <si>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</si>
  <si>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</si>
  <si>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</si>
  <si>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</si>
  <si>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</si>
  <si>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</si>
  <si>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</si>
  <si>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</si>
  <si>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</si>
  <si>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</si>
  <si>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</si>
  <si>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</si>
  <si>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</si>
  <si>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</si>
  <si>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</si>
  <si>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</si>
  <si>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</si>
  <si>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</si>
  <si>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</si>
  <si>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</si>
  <si>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</si>
  <si>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</si>
  <si>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</si>
  <si>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</si>
  <si>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</si>
  <si>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</si>
  <si>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</si>
  <si>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</si>
  <si>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</si>
  <si>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</si>
  <si>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</si>
  <si>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</si>
  <si>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</si>
  <si>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</si>
  <si>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</si>
  <si>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</si>
  <si>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</si>
  <si>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</si>
  <si>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</si>
  <si>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</si>
  <si>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</si>
  <si>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</si>
  <si>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</si>
  <si>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</si>
  <si>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</si>
  <si>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</si>
  <si>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</si>
  <si>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</si>
  <si>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</si>
  <si>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</si>
  <si>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</si>
  <si>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</si>
  <si>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</si>
  <si>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</si>
  <si>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</si>
  <si>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</si>
  <si>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</si>
  <si>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</si>
  <si>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</si>
  <si>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</si>
  <si>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</si>
  <si>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</si>
  <si>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</si>
  <si>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</si>
  <si>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</si>
  <si>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</si>
  <si>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</si>
  <si>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</si>
  <si>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</si>
  <si>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</si>
  <si>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</si>
  <si>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</si>
  <si>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</si>
  <si>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</si>
  <si>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</si>
  <si>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</si>
  <si>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</si>
  <si>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</si>
  <si>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</si>
  <si>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</si>
  <si>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</si>
  <si>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</si>
  <si>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</si>
  <si>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</si>
  <si>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</si>
  <si>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</si>
  <si>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</si>
  <si>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</si>
  <si>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</si>
  <si>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</si>
  <si>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</si>
  <si>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</si>
  <si>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</si>
  <si>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</si>
  <si>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</si>
  <si>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</si>
  <si>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</si>
  <si>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</si>
  <si>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</si>
  <si>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</si>
  <si>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</si>
  <si>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</si>
  <si>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</si>
  <si>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</si>
  <si>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</si>
  <si>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</si>
  <si>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</si>
  <si>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</si>
  <si>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</si>
  <si>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</si>
  <si>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</si>
  <si>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</si>
  <si>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</si>
  <si>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</si>
  <si>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</si>
  <si>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</si>
  <si>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</si>
  <si>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</si>
  <si>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</si>
  <si>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</si>
  <si>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</si>
  <si>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</si>
  <si>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</si>
  <si>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</si>
  <si>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</si>
  <si>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</si>
  <si>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</si>
  <si>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</si>
  <si>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</si>
  <si>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</si>
  <si>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</si>
  <si>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</si>
  <si>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</si>
  <si>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</si>
  <si>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</si>
  <si>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</si>
  <si>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</si>
  <si>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</si>
  <si>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</si>
  <si>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</si>
  <si>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</si>
  <si>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</si>
  <si>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</si>
  <si>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</si>
  <si>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</si>
  <si>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</si>
  <si>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</si>
  <si>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</si>
  <si>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</si>
  <si>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</si>
  <si>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</si>
  <si>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</si>
  <si>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</si>
  <si>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</si>
  <si>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</si>
  <si>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</si>
  <si>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</si>
  <si>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</si>
  <si>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</si>
  <si>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</si>
  <si>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</si>
  <si>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</si>
  <si>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</si>
  <si>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</si>
  <si>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</si>
  <si>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</si>
  <si>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</si>
  <si>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</si>
  <si>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</si>
  <si>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</si>
  <si>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</si>
  <si>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</si>
  <si>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</si>
  <si>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</si>
  <si>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</si>
  <si>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</si>
  <si>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</si>
  <si>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</si>
  <si>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</si>
  <si>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</si>
  <si>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</si>
  <si>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</si>
  <si>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</si>
  <si>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</si>
  <si>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</si>
  <si>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</si>
  <si>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</si>
  <si>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</si>
  <si>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</si>
  <si>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</si>
  <si>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</si>
  <si>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</si>
  <si>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</si>
  <si>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</si>
  <si>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</si>
  <si>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</si>
  <si>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</si>
  <si>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</si>
  <si>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</si>
  <si>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</si>
  <si>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</si>
  <si>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</si>
  <si>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</si>
  <si>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</si>
  <si>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</si>
  <si>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</si>
  <si>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</si>
  <si>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</si>
  <si>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</si>
  <si>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</si>
  <si>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</si>
  <si>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</si>
  <si>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</si>
  <si>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</si>
  <si>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</si>
  <si>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</si>
  <si>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</si>
  <si>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</si>
  <si>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</si>
  <si>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</si>
  <si>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</si>
  <si>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</si>
  <si>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</si>
  <si>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</si>
  <si>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</si>
  <si>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</si>
  <si>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</si>
  <si>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</si>
  <si>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</si>
  <si>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</si>
  <si>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</si>
  <si>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</si>
  <si>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</si>
  <si>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</si>
  <si>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</si>
  <si>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</si>
  <si>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</si>
  <si>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</si>
  <si>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</si>
  <si>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</si>
  <si>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</si>
  <si>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</si>
  <si>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</si>
  <si>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</si>
  <si>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</si>
  <si>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</si>
  <si>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</si>
  <si>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</si>
  <si>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</si>
  <si>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</si>
  <si>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</si>
  <si>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</si>
  <si>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</si>
  <si>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</si>
  <si>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</si>
  <si>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</si>
  <si>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</si>
  <si>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</si>
  <si>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</si>
  <si>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</si>
  <si>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</si>
  <si>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</si>
  <si>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</si>
  <si>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</si>
  <si>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</si>
  <si>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</si>
  <si>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</si>
  <si>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</si>
  <si>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</si>
  <si>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</si>
  <si>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</si>
  <si>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</si>
  <si>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</si>
  <si>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</si>
  <si>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</si>
  <si>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</si>
  <si>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</si>
  <si>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</si>
  <si>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</si>
  <si>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</si>
  <si>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</si>
  <si>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</si>
  <si>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</si>
  <si>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</si>
  <si>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</si>
  <si>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</si>
  <si>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</si>
  <si>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</si>
  <si>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</si>
  <si>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</si>
  <si>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</si>
  <si>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</si>
  <si>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</si>
  <si>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</si>
  <si>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</si>
  <si>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</si>
  <si>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</si>
  <si>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</si>
  <si>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</si>
  <si>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</si>
  <si>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</si>
  <si>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</si>
  <si>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</si>
  <si>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</si>
  <si>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</si>
  <si>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</si>
  <si>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</si>
  <si>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</si>
  <si>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</si>
  <si>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</si>
  <si>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</si>
  <si>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</si>
  <si>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</si>
  <si>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</si>
  <si>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</si>
  <si>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</si>
  <si>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</si>
  <si>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</si>
  <si>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</si>
  <si>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</si>
  <si>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</si>
  <si>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</si>
  <si>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</si>
  <si>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</si>
  <si>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</si>
  <si>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</si>
  <si>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</si>
  <si>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</si>
  <si>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</si>
  <si>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</si>
  <si>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</si>
  <si>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</si>
  <si>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</si>
  <si>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</si>
  <si>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</si>
  <si>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</si>
  <si>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</si>
  <si>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</si>
  <si>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</si>
  <si>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</si>
  <si>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</si>
  <si>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</si>
  <si>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</si>
  <si>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</si>
  <si>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</si>
  <si>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</si>
  <si>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</si>
  <si>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</si>
  <si>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</si>
  <si>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</si>
  <si>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</si>
  <si>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</si>
  <si>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</si>
  <si>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</si>
  <si>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</si>
  <si>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</si>
  <si>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</si>
  <si>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</si>
  <si>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</si>
  <si>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</si>
  <si>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</si>
  <si>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</si>
  <si>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</si>
  <si>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</si>
  <si>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</si>
  <si>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</si>
  <si>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</si>
  <si>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</si>
  <si>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</si>
  <si>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</si>
  <si>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</si>
  <si>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</si>
  <si>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</si>
  <si>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</si>
  <si>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</si>
  <si>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</si>
  <si>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</si>
  <si>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</si>
  <si>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</si>
  <si>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</si>
  <si>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</si>
  <si>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</si>
  <si>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</si>
  <si>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</si>
  <si>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</si>
  <si>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</si>
  <si>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</si>
  <si>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</si>
  <si>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</si>
  <si>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</si>
  <si>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</si>
  <si>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</si>
  <si>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</si>
  <si>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</si>
  <si>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</si>
  <si>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</si>
  <si>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</si>
  <si>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</si>
  <si>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</si>
  <si>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</si>
  <si>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</si>
  <si>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</si>
  <si>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</si>
  <si>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</si>
  <si>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</si>
  <si>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</si>
  <si>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</si>
  <si>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</si>
  <si>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</si>
  <si>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</si>
  <si>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</si>
  <si>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</si>
  <si>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</si>
  <si>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</si>
  <si>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</si>
  <si>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</si>
  <si>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</si>
  <si>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</si>
  <si>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</si>
  <si>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</si>
  <si>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</si>
  <si>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</si>
  <si>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</si>
  <si>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</si>
  <si>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</si>
  <si>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</si>
  <si>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</si>
  <si>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</si>
  <si>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</si>
  <si>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</si>
  <si>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</si>
  <si>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</si>
  <si>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</si>
  <si>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</si>
  <si>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</si>
  <si>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</si>
  <si>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</si>
  <si>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</si>
  <si>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</si>
  <si>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</si>
  <si>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</si>
  <si>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</si>
  <si>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</si>
  <si>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</si>
  <si>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</si>
  <si>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</si>
  <si>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</si>
  <si>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</si>
  <si>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</si>
  <si>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</si>
  <si>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</si>
  <si>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</si>
  <si>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</si>
  <si>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</si>
  <si>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</si>
  <si>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</si>
  <si>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</si>
  <si>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</si>
  <si>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</si>
  <si>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</si>
  <si>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</si>
  <si>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</si>
  <si>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</si>
  <si>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</si>
  <si>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</si>
  <si>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</si>
  <si>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</si>
  <si>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</si>
  <si>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</si>
  <si>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44080</t>
  </si>
  <si>
    <t>ZOMERGEM</t>
  </si>
  <si>
    <t>Paarden&amp;pony's 200 - 600 kg</t>
  </si>
  <si>
    <t>Paarden&amp;pony's &lt; 200 kg</t>
  </si>
  <si>
    <t>Fluvius</t>
  </si>
  <si>
    <t xml:space="preserve">Bron: </t>
  </si>
  <si>
    <t>referentietaak LNE (2017); Jaarverslag De Lijn</t>
  </si>
  <si>
    <t>Agro-energiek bvba</t>
  </si>
  <si>
    <t>Rijvers 66b , 9930 Zomergem</t>
  </si>
  <si>
    <t>WKK-0085 Vandaele</t>
  </si>
  <si>
    <t>interne verbrandingsmotor</t>
  </si>
  <si>
    <t>WKK interne verbrandinsgmotor (gas)</t>
  </si>
  <si>
    <t>Rijvers 66 b, 9930 Zomergem</t>
  </si>
  <si>
    <t>IMEWO</t>
  </si>
  <si>
    <t>Calagro Energie bvba</t>
  </si>
  <si>
    <t>Meirlare 21 , 9930 Zomergem</t>
  </si>
  <si>
    <t xml:space="preserve">WKK-0238 Calagro Energie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</si>
</sst>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44080</v>
      </c>
      <c r="B6" s="386"/>
      <c r="C6" s="387"/>
    </row>
    <row r="7" spans="1:7" s="384" customFormat="1" ht="15.75" customHeight="1">
      <c r="A7" s="388" t="str">
        <f>txtMunicipality</f>
        <v>ZOMERGEM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7420.34226439759</v>
      </c>
      <c r="D10" s="676">
        <f ca="1">tertiair!C16</f>
        <v>0</v>
      </c>
      <c r="E10" s="676">
        <f ca="1">tertiair!D16</f>
        <v>6590.6773087053625</v>
      </c>
      <c r="F10" s="676">
        <f>tertiair!E16</f>
        <v>142.95012763350633</v>
      </c>
      <c r="G10" s="676">
        <f ca="1">tertiair!F16</f>
        <v>1274.6742022796871</v>
      </c>
      <c r="H10" s="676">
        <f>tertiair!G16</f>
        <v>0</v>
      </c>
      <c r="I10" s="676">
        <f>tertiair!H16</f>
        <v>0</v>
      </c>
      <c r="J10" s="676">
        <f>tertiair!I16</f>
        <v>0</v>
      </c>
      <c r="K10" s="676">
        <f>tertiair!J16</f>
        <v>0</v>
      </c>
      <c r="L10" s="676">
        <f>tertiair!K16</f>
        <v>0</v>
      </c>
      <c r="M10" s="676">
        <f ca="1">tertiair!L16</f>
        <v>0</v>
      </c>
      <c r="N10" s="676">
        <f>tertiair!M16</f>
        <v>0</v>
      </c>
      <c r="O10" s="676">
        <f ca="1">tertiair!N16</f>
        <v>287.01939145122151</v>
      </c>
      <c r="P10" s="676">
        <f>tertiair!O16</f>
        <v>3.1266666666666669</v>
      </c>
      <c r="Q10" s="677">
        <f>tertiair!P16</f>
        <v>19.066666666666666</v>
      </c>
      <c r="R10" s="679">
        <f ca="1">SUM(C10:Q10)</f>
        <v>15737.856627800702</v>
      </c>
      <c r="S10" s="67"/>
    </row>
    <row r="11" spans="1:19" s="445" customFormat="1">
      <c r="A11" s="791" t="s">
        <v>220</v>
      </c>
      <c r="B11" s="796"/>
      <c r="C11" s="676">
        <f>huishoudens!B8</f>
        <v>16986.537636976806</v>
      </c>
      <c r="D11" s="676">
        <f>huishoudens!C8</f>
        <v>0</v>
      </c>
      <c r="E11" s="676">
        <f>huishoudens!D8</f>
        <v>18171.595734405208</v>
      </c>
      <c r="F11" s="676">
        <f>huishoudens!E8</f>
        <v>1056.038470258251</v>
      </c>
      <c r="G11" s="676">
        <f>huishoudens!F8</f>
        <v>36047.234956421766</v>
      </c>
      <c r="H11" s="676">
        <f>huishoudens!G8</f>
        <v>0</v>
      </c>
      <c r="I11" s="676">
        <f>huishoudens!H8</f>
        <v>0</v>
      </c>
      <c r="J11" s="676">
        <f>huishoudens!I8</f>
        <v>0</v>
      </c>
      <c r="K11" s="676">
        <f>huishoudens!J8</f>
        <v>811.69234112585116</v>
      </c>
      <c r="L11" s="676">
        <f>huishoudens!K8</f>
        <v>0</v>
      </c>
      <c r="M11" s="676">
        <f>huishoudens!L8</f>
        <v>0</v>
      </c>
      <c r="N11" s="676">
        <f>huishoudens!M8</f>
        <v>0</v>
      </c>
      <c r="O11" s="676">
        <f>huishoudens!N8</f>
        <v>4300.8196807793884</v>
      </c>
      <c r="P11" s="676">
        <f>huishoudens!O8</f>
        <v>51.589999999999996</v>
      </c>
      <c r="Q11" s="677">
        <f>huishoudens!P8</f>
        <v>95.333333333333343</v>
      </c>
      <c r="R11" s="679">
        <f>SUM(C11:Q11)</f>
        <v>77520.842153300589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1369.6385217632615</v>
      </c>
      <c r="D13" s="676">
        <f>industrie!C18</f>
        <v>0</v>
      </c>
      <c r="E13" s="676">
        <f>industrie!D18</f>
        <v>947.07721671831064</v>
      </c>
      <c r="F13" s="676">
        <f>industrie!E18</f>
        <v>18.405479928405683</v>
      </c>
      <c r="G13" s="676">
        <f>industrie!F18</f>
        <v>677.34317648025228</v>
      </c>
      <c r="H13" s="676">
        <f>industrie!G18</f>
        <v>0</v>
      </c>
      <c r="I13" s="676">
        <f>industrie!H18</f>
        <v>0</v>
      </c>
      <c r="J13" s="676">
        <f>industrie!I18</f>
        <v>0</v>
      </c>
      <c r="K13" s="676">
        <f>industrie!J18</f>
        <v>4.6986605640188408</v>
      </c>
      <c r="L13" s="676">
        <f>industrie!K18</f>
        <v>0</v>
      </c>
      <c r="M13" s="676">
        <f>industrie!L18</f>
        <v>0</v>
      </c>
      <c r="N13" s="676">
        <f>industrie!M18</f>
        <v>0</v>
      </c>
      <c r="O13" s="676">
        <f>industrie!N18</f>
        <v>62.755171840441307</v>
      </c>
      <c r="P13" s="676">
        <f>industrie!O18</f>
        <v>0</v>
      </c>
      <c r="Q13" s="677">
        <f>industrie!P18</f>
        <v>0</v>
      </c>
      <c r="R13" s="679">
        <f>SUM(C13:Q13)</f>
        <v>3079.91822729469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25776.518423137655</v>
      </c>
      <c r="D16" s="709">
        <f t="shared" ref="D16:R16" ca="1" si="0">SUM(D9:D15)</f>
        <v>0</v>
      </c>
      <c r="E16" s="709">
        <f t="shared" ca="1" si="0"/>
        <v>25709.35025982888</v>
      </c>
      <c r="F16" s="709">
        <f t="shared" si="0"/>
        <v>1217.3940778201629</v>
      </c>
      <c r="G16" s="709">
        <f t="shared" ca="1" si="0"/>
        <v>37999.252335181707</v>
      </c>
      <c r="H16" s="709">
        <f t="shared" si="0"/>
        <v>0</v>
      </c>
      <c r="I16" s="709">
        <f t="shared" si="0"/>
        <v>0</v>
      </c>
      <c r="J16" s="709">
        <f t="shared" si="0"/>
        <v>0</v>
      </c>
      <c r="K16" s="709">
        <f t="shared" si="0"/>
        <v>816.39100168987</v>
      </c>
      <c r="L16" s="709">
        <f t="shared" si="0"/>
        <v>0</v>
      </c>
      <c r="M16" s="709">
        <f t="shared" ca="1" si="0"/>
        <v>0</v>
      </c>
      <c r="N16" s="709">
        <f t="shared" si="0"/>
        <v>0</v>
      </c>
      <c r="O16" s="709">
        <f t="shared" ca="1" si="0"/>
        <v>4650.5942440710514</v>
      </c>
      <c r="P16" s="709">
        <f t="shared" si="0"/>
        <v>54.716666666666661</v>
      </c>
      <c r="Q16" s="709">
        <f t="shared" si="0"/>
        <v>114.4</v>
      </c>
      <c r="R16" s="709">
        <f t="shared" ca="1" si="0"/>
        <v>96338.617008395988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3.0879461076216832</v>
      </c>
      <c r="D19" s="676">
        <f>transport!C54</f>
        <v>0</v>
      </c>
      <c r="E19" s="676">
        <f>transport!D54</f>
        <v>0</v>
      </c>
      <c r="F19" s="676">
        <f>transport!E54</f>
        <v>0</v>
      </c>
      <c r="G19" s="676">
        <f>transport!F54</f>
        <v>0</v>
      </c>
      <c r="H19" s="676">
        <f>transport!G54</f>
        <v>669.89890550699806</v>
      </c>
      <c r="I19" s="676">
        <f>transport!H54</f>
        <v>0</v>
      </c>
      <c r="J19" s="676">
        <f>transport!I54</f>
        <v>0</v>
      </c>
      <c r="K19" s="676">
        <f>transport!J54</f>
        <v>0</v>
      </c>
      <c r="L19" s="676">
        <f>transport!K54</f>
        <v>0</v>
      </c>
      <c r="M19" s="676">
        <f>transport!L54</f>
        <v>0</v>
      </c>
      <c r="N19" s="676">
        <f>transport!M54</f>
        <v>28.682497885290203</v>
      </c>
      <c r="O19" s="676">
        <f>transport!N54</f>
        <v>0</v>
      </c>
      <c r="P19" s="676">
        <f>transport!O54</f>
        <v>0</v>
      </c>
      <c r="Q19" s="677">
        <f>transport!P54</f>
        <v>0</v>
      </c>
      <c r="R19" s="679">
        <f>SUM(C19:Q19)</f>
        <v>701.66934949990991</v>
      </c>
      <c r="S19" s="67"/>
    </row>
    <row r="20" spans="1:19" s="445" customFormat="1">
      <c r="A20" s="791" t="s">
        <v>302</v>
      </c>
      <c r="B20" s="796"/>
      <c r="C20" s="676">
        <f>transport!B14</f>
        <v>0.42103400796162255</v>
      </c>
      <c r="D20" s="676">
        <f>transport!C14</f>
        <v>0</v>
      </c>
      <c r="E20" s="676">
        <f>transport!D14</f>
        <v>1.9233216695726554</v>
      </c>
      <c r="F20" s="676">
        <f>transport!E14</f>
        <v>191.60618811264851</v>
      </c>
      <c r="G20" s="676">
        <f>transport!F14</f>
        <v>0</v>
      </c>
      <c r="H20" s="676">
        <f>transport!G14</f>
        <v>29254.01030908195</v>
      </c>
      <c r="I20" s="676">
        <f>transport!H14</f>
        <v>6132.1272721950672</v>
      </c>
      <c r="J20" s="676">
        <f>transport!I14</f>
        <v>0</v>
      </c>
      <c r="K20" s="676">
        <f>transport!J14</f>
        <v>0</v>
      </c>
      <c r="L20" s="676">
        <f>transport!K14</f>
        <v>0</v>
      </c>
      <c r="M20" s="676">
        <f>transport!L14</f>
        <v>0</v>
      </c>
      <c r="N20" s="676">
        <f>transport!M14</f>
        <v>1542.4702739119039</v>
      </c>
      <c r="O20" s="676">
        <f>transport!N14</f>
        <v>0</v>
      </c>
      <c r="P20" s="676">
        <f>transport!O14</f>
        <v>0</v>
      </c>
      <c r="Q20" s="677">
        <f>transport!P14</f>
        <v>0</v>
      </c>
      <c r="R20" s="679">
        <f>SUM(C20:Q20)</f>
        <v>37122.558398979105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3.5089801155833058</v>
      </c>
      <c r="D22" s="794">
        <f t="shared" ref="D22:R22" si="1">SUM(D18:D21)</f>
        <v>0</v>
      </c>
      <c r="E22" s="794">
        <f t="shared" si="1"/>
        <v>1.9233216695726554</v>
      </c>
      <c r="F22" s="794">
        <f t="shared" si="1"/>
        <v>191.60618811264851</v>
      </c>
      <c r="G22" s="794">
        <f t="shared" si="1"/>
        <v>0</v>
      </c>
      <c r="H22" s="794">
        <f t="shared" si="1"/>
        <v>29923.909214588948</v>
      </c>
      <c r="I22" s="794">
        <f t="shared" si="1"/>
        <v>6132.1272721950672</v>
      </c>
      <c r="J22" s="794">
        <f t="shared" si="1"/>
        <v>0</v>
      </c>
      <c r="K22" s="794">
        <f t="shared" si="1"/>
        <v>0</v>
      </c>
      <c r="L22" s="794">
        <f t="shared" si="1"/>
        <v>0</v>
      </c>
      <c r="M22" s="794">
        <f t="shared" si="1"/>
        <v>0</v>
      </c>
      <c r="N22" s="794">
        <f t="shared" si="1"/>
        <v>1571.152771797194</v>
      </c>
      <c r="O22" s="794">
        <f t="shared" si="1"/>
        <v>0</v>
      </c>
      <c r="P22" s="794">
        <f t="shared" si="1"/>
        <v>0</v>
      </c>
      <c r="Q22" s="794">
        <f t="shared" si="1"/>
        <v>0</v>
      </c>
      <c r="R22" s="794">
        <f t="shared" si="1"/>
        <v>37824.227748479017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1867.697197076307</v>
      </c>
      <c r="D24" s="676">
        <f>+landbouw!C8</f>
        <v>25058.571428571428</v>
      </c>
      <c r="E24" s="676">
        <f>+landbouw!D8</f>
        <v>69.58298178004307</v>
      </c>
      <c r="F24" s="676">
        <f>+landbouw!E8</f>
        <v>19.558929387737365</v>
      </c>
      <c r="G24" s="676">
        <f>+landbouw!F8</f>
        <v>7995.1631519586072</v>
      </c>
      <c r="H24" s="676">
        <f>+landbouw!G8</f>
        <v>0</v>
      </c>
      <c r="I24" s="676">
        <f>+landbouw!H8</f>
        <v>0</v>
      </c>
      <c r="J24" s="676">
        <f>+landbouw!I8</f>
        <v>0</v>
      </c>
      <c r="K24" s="676">
        <f>+landbouw!J8</f>
        <v>166.8021001544781</v>
      </c>
      <c r="L24" s="676">
        <f>+landbouw!K8</f>
        <v>0</v>
      </c>
      <c r="M24" s="676">
        <f>+landbouw!L8</f>
        <v>0</v>
      </c>
      <c r="N24" s="676">
        <f>+landbouw!M8</f>
        <v>0</v>
      </c>
      <c r="O24" s="676">
        <f>+landbouw!N8</f>
        <v>0</v>
      </c>
      <c r="P24" s="676">
        <f>+landbouw!O8</f>
        <v>0</v>
      </c>
      <c r="Q24" s="677">
        <f>+landbouw!P8</f>
        <v>0</v>
      </c>
      <c r="R24" s="679">
        <f>SUM(C24:Q24)</f>
        <v>35177.375788928599</v>
      </c>
      <c r="S24" s="67"/>
    </row>
    <row r="25" spans="1:19" s="445" customFormat="1" ht="15" thickBot="1">
      <c r="A25" s="813" t="s">
        <v>895</v>
      </c>
      <c r="B25" s="968"/>
      <c r="C25" s="969">
        <f>IF(Onbekend_ele_kWh="---",0,Onbekend_ele_kWh)/1000+IF(REST_rest_ele_kWh="---",0,REST_rest_ele_kWh)/1000</f>
        <v>1172.0074816787399</v>
      </c>
      <c r="D25" s="969"/>
      <c r="E25" s="969">
        <f>IF(onbekend_gas_kWh="---",0,onbekend_gas_kWh)/1000+IF(REST_rest_gas_kWh="---",0,REST_rest_gas_kWh)/1000</f>
        <v>810.453525126253</v>
      </c>
      <c r="F25" s="969"/>
      <c r="G25" s="969"/>
      <c r="H25" s="969"/>
      <c r="I25" s="969"/>
      <c r="J25" s="969"/>
      <c r="K25" s="969"/>
      <c r="L25" s="969"/>
      <c r="M25" s="969"/>
      <c r="N25" s="969"/>
      <c r="O25" s="969"/>
      <c r="P25" s="969"/>
      <c r="Q25" s="970"/>
      <c r="R25" s="679">
        <f>SUM(C25:Q25)</f>
        <v>1982.4610068049928</v>
      </c>
      <c r="S25" s="67"/>
    </row>
    <row r="26" spans="1:19" s="445" customFormat="1" ht="15.75" thickBot="1">
      <c r="A26" s="682" t="s">
        <v>896</v>
      </c>
      <c r="B26" s="799"/>
      <c r="C26" s="794">
        <f>SUM(C24:C25)</f>
        <v>3039.7046787550471</v>
      </c>
      <c r="D26" s="794">
        <f t="shared" ref="D26:R26" si="2">SUM(D24:D25)</f>
        <v>25058.571428571428</v>
      </c>
      <c r="E26" s="794">
        <f t="shared" si="2"/>
        <v>880.03650690629604</v>
      </c>
      <c r="F26" s="794">
        <f t="shared" si="2"/>
        <v>19.558929387737365</v>
      </c>
      <c r="G26" s="794">
        <f t="shared" si="2"/>
        <v>7995.1631519586072</v>
      </c>
      <c r="H26" s="794">
        <f t="shared" si="2"/>
        <v>0</v>
      </c>
      <c r="I26" s="794">
        <f t="shared" si="2"/>
        <v>0</v>
      </c>
      <c r="J26" s="794">
        <f t="shared" si="2"/>
        <v>0</v>
      </c>
      <c r="K26" s="794">
        <f t="shared" si="2"/>
        <v>166.8021001544781</v>
      </c>
      <c r="L26" s="794">
        <f t="shared" si="2"/>
        <v>0</v>
      </c>
      <c r="M26" s="794">
        <f t="shared" si="2"/>
        <v>0</v>
      </c>
      <c r="N26" s="794">
        <f t="shared" si="2"/>
        <v>0</v>
      </c>
      <c r="O26" s="794">
        <f t="shared" si="2"/>
        <v>0</v>
      </c>
      <c r="P26" s="794">
        <f t="shared" si="2"/>
        <v>0</v>
      </c>
      <c r="Q26" s="794">
        <f t="shared" si="2"/>
        <v>0</v>
      </c>
      <c r="R26" s="794">
        <f t="shared" si="2"/>
        <v>37159.836795733594</v>
      </c>
      <c r="S26" s="67"/>
    </row>
    <row r="27" spans="1:19" s="445" customFormat="1" ht="17.25" thickTop="1" thickBot="1">
      <c r="A27" s="683" t="s">
        <v>115</v>
      </c>
      <c r="B27" s="786"/>
      <c r="C27" s="684">
        <f ca="1">C22+C16+C26</f>
        <v>28819.732082008286</v>
      </c>
      <c r="D27" s="684">
        <f t="shared" ref="D27:R27" ca="1" si="3">D22+D16+D26</f>
        <v>25058.571428571428</v>
      </c>
      <c r="E27" s="684">
        <f t="shared" ca="1" si="3"/>
        <v>26591.310088404749</v>
      </c>
      <c r="F27" s="684">
        <f t="shared" si="3"/>
        <v>1428.559195320549</v>
      </c>
      <c r="G27" s="684">
        <f t="shared" ca="1" si="3"/>
        <v>45994.415487140315</v>
      </c>
      <c r="H27" s="684">
        <f t="shared" si="3"/>
        <v>29923.909214588948</v>
      </c>
      <c r="I27" s="684">
        <f t="shared" si="3"/>
        <v>6132.1272721950672</v>
      </c>
      <c r="J27" s="684">
        <f t="shared" si="3"/>
        <v>0</v>
      </c>
      <c r="K27" s="684">
        <f t="shared" si="3"/>
        <v>983.19310184434812</v>
      </c>
      <c r="L27" s="684">
        <f t="shared" si="3"/>
        <v>0</v>
      </c>
      <c r="M27" s="684">
        <f t="shared" ca="1" si="3"/>
        <v>0</v>
      </c>
      <c r="N27" s="684">
        <f t="shared" si="3"/>
        <v>1571.152771797194</v>
      </c>
      <c r="O27" s="684">
        <f t="shared" ca="1" si="3"/>
        <v>4650.5942440710514</v>
      </c>
      <c r="P27" s="684">
        <f t="shared" si="3"/>
        <v>54.716666666666661</v>
      </c>
      <c r="Q27" s="684">
        <f t="shared" si="3"/>
        <v>114.4</v>
      </c>
      <c r="R27" s="684">
        <f t="shared" ca="1" si="3"/>
        <v>171322.68155260861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585.66516367472639</v>
      </c>
      <c r="D40" s="676">
        <f ca="1">tertiair!C20</f>
        <v>0</v>
      </c>
      <c r="E40" s="676">
        <f ca="1">tertiair!D20</f>
        <v>1331.3168163584833</v>
      </c>
      <c r="F40" s="676">
        <f>tertiair!E20</f>
        <v>32.449678972805934</v>
      </c>
      <c r="G40" s="676">
        <f ca="1">tertiair!F20</f>
        <v>340.33801200867646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2289.769671014692</v>
      </c>
    </row>
    <row r="41" spans="1:18">
      <c r="A41" s="804" t="s">
        <v>220</v>
      </c>
      <c r="B41" s="811"/>
      <c r="C41" s="676">
        <f ca="1">huishoudens!B12</f>
        <v>1340.6960206079618</v>
      </c>
      <c r="D41" s="676">
        <f ca="1">huishoudens!C12</f>
        <v>0</v>
      </c>
      <c r="E41" s="676">
        <f>huishoudens!D12</f>
        <v>3670.6623383498522</v>
      </c>
      <c r="F41" s="676">
        <f>huishoudens!E12</f>
        <v>239.72073274862299</v>
      </c>
      <c r="G41" s="676">
        <f>huishoudens!F12</f>
        <v>9624.6117333646125</v>
      </c>
      <c r="H41" s="676">
        <f>huishoudens!G12</f>
        <v>0</v>
      </c>
      <c r="I41" s="676">
        <f>huishoudens!H12</f>
        <v>0</v>
      </c>
      <c r="J41" s="676">
        <f>huishoudens!I12</f>
        <v>0</v>
      </c>
      <c r="K41" s="676">
        <f>huishoudens!J12</f>
        <v>287.33908875855127</v>
      </c>
      <c r="L41" s="676">
        <f>huishoudens!K12</f>
        <v>0</v>
      </c>
      <c r="M41" s="676">
        <f>huishoudens!L12</f>
        <v>0</v>
      </c>
      <c r="N41" s="676">
        <f>huishoudens!M12</f>
        <v>0</v>
      </c>
      <c r="O41" s="676">
        <f>huishoudens!N12</f>
        <v>0</v>
      </c>
      <c r="P41" s="676">
        <f>huishoudens!O12</f>
        <v>0</v>
      </c>
      <c r="Q41" s="751">
        <f>huishoudens!P12</f>
        <v>0</v>
      </c>
      <c r="R41" s="832">
        <f t="shared" ca="1" si="4"/>
        <v>15163.029913829601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108.10142449525033</v>
      </c>
      <c r="D43" s="676">
        <f ca="1">industrie!C22</f>
        <v>0</v>
      </c>
      <c r="E43" s="676">
        <f>industrie!D22</f>
        <v>191.30959777709876</v>
      </c>
      <c r="F43" s="676">
        <f>industrie!E22</f>
        <v>4.1780439437480901</v>
      </c>
      <c r="G43" s="676">
        <f>industrie!F22</f>
        <v>180.85062812022736</v>
      </c>
      <c r="H43" s="676">
        <f>industrie!G22</f>
        <v>0</v>
      </c>
      <c r="I43" s="676">
        <f>industrie!H22</f>
        <v>0</v>
      </c>
      <c r="J43" s="676">
        <f>industrie!I22</f>
        <v>0</v>
      </c>
      <c r="K43" s="676">
        <f>industrie!J22</f>
        <v>1.6633258396626696</v>
      </c>
      <c r="L43" s="676">
        <f>industrie!K22</f>
        <v>0</v>
      </c>
      <c r="M43" s="676">
        <f>industrie!L22</f>
        <v>0</v>
      </c>
      <c r="N43" s="676">
        <f>industrie!M22</f>
        <v>0</v>
      </c>
      <c r="O43" s="676">
        <f>industrie!N22</f>
        <v>0</v>
      </c>
      <c r="P43" s="676">
        <f>industrie!O22</f>
        <v>0</v>
      </c>
      <c r="Q43" s="751">
        <f>industrie!P22</f>
        <v>0</v>
      </c>
      <c r="R43" s="831">
        <f t="shared" ca="1" si="4"/>
        <v>486.10302017598724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2034.4626087779384</v>
      </c>
      <c r="D46" s="709">
        <f t="shared" ref="D46:Q46" ca="1" si="5">SUM(D39:D45)</f>
        <v>0</v>
      </c>
      <c r="E46" s="709">
        <f t="shared" ca="1" si="5"/>
        <v>5193.2887524854341</v>
      </c>
      <c r="F46" s="709">
        <f t="shared" si="5"/>
        <v>276.34845566517703</v>
      </c>
      <c r="G46" s="709">
        <f t="shared" ca="1" si="5"/>
        <v>10145.800373493517</v>
      </c>
      <c r="H46" s="709">
        <f t="shared" si="5"/>
        <v>0</v>
      </c>
      <c r="I46" s="709">
        <f t="shared" si="5"/>
        <v>0</v>
      </c>
      <c r="J46" s="709">
        <f t="shared" si="5"/>
        <v>0</v>
      </c>
      <c r="K46" s="709">
        <f t="shared" si="5"/>
        <v>289.00241459821393</v>
      </c>
      <c r="L46" s="709">
        <f t="shared" si="5"/>
        <v>0</v>
      </c>
      <c r="M46" s="709">
        <f t="shared" ca="1" si="5"/>
        <v>0</v>
      </c>
      <c r="N46" s="709">
        <f t="shared" si="5"/>
        <v>0</v>
      </c>
      <c r="O46" s="709">
        <f t="shared" ca="1" si="5"/>
        <v>0</v>
      </c>
      <c r="P46" s="709">
        <f t="shared" si="5"/>
        <v>0</v>
      </c>
      <c r="Q46" s="709">
        <f t="shared" si="5"/>
        <v>0</v>
      </c>
      <c r="R46" s="709">
        <f ca="1">SUM(R39:R45)</f>
        <v>17938.902605020281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0.24372224327388331</v>
      </c>
      <c r="D49" s="676">
        <f ca="1">transport!C58</f>
        <v>0</v>
      </c>
      <c r="E49" s="676">
        <f>transport!D58</f>
        <v>0</v>
      </c>
      <c r="F49" s="676">
        <f>transport!E58</f>
        <v>0</v>
      </c>
      <c r="G49" s="676">
        <f>transport!F58</f>
        <v>0</v>
      </c>
      <c r="H49" s="676">
        <f>transport!G58</f>
        <v>178.86300777036848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179.10673001364236</v>
      </c>
    </row>
    <row r="50" spans="1:18">
      <c r="A50" s="807" t="s">
        <v>302</v>
      </c>
      <c r="B50" s="817"/>
      <c r="C50" s="975">
        <f ca="1">transport!B18</f>
        <v>3.3230940352788216E-2</v>
      </c>
      <c r="D50" s="975">
        <f>transport!C18</f>
        <v>0</v>
      </c>
      <c r="E50" s="975">
        <f>transport!D18</f>
        <v>0.38851097725367639</v>
      </c>
      <c r="F50" s="975">
        <f>transport!E18</f>
        <v>43.494604701571213</v>
      </c>
      <c r="G50" s="975">
        <f>transport!F18</f>
        <v>0</v>
      </c>
      <c r="H50" s="975">
        <f>transport!G18</f>
        <v>7810.8207525248808</v>
      </c>
      <c r="I50" s="975">
        <f>transport!H18</f>
        <v>1526.8996907765718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9381.6367899206307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0.27695318362667154</v>
      </c>
      <c r="D52" s="709">
        <f t="shared" ref="D52:Q52" ca="1" si="6">SUM(D48:D51)</f>
        <v>0</v>
      </c>
      <c r="E52" s="709">
        <f t="shared" si="6"/>
        <v>0.38851097725367639</v>
      </c>
      <c r="F52" s="709">
        <f t="shared" si="6"/>
        <v>43.494604701571213</v>
      </c>
      <c r="G52" s="709">
        <f t="shared" si="6"/>
        <v>0</v>
      </c>
      <c r="H52" s="709">
        <f t="shared" si="6"/>
        <v>7989.6837602952492</v>
      </c>
      <c r="I52" s="709">
        <f t="shared" si="6"/>
        <v>1526.8996907765718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9560.7435199342726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147.41168879348524</v>
      </c>
      <c r="D54" s="975">
        <f ca="1">+landbouw!C12</f>
        <v>0</v>
      </c>
      <c r="E54" s="975">
        <f>+landbouw!D12</f>
        <v>14.055762319568702</v>
      </c>
      <c r="F54" s="975">
        <f>+landbouw!E12</f>
        <v>4.4398769710163819</v>
      </c>
      <c r="G54" s="975">
        <f>+landbouw!F12</f>
        <v>2134.7085615729484</v>
      </c>
      <c r="H54" s="975">
        <f>+landbouw!G12</f>
        <v>0</v>
      </c>
      <c r="I54" s="975">
        <f>+landbouw!H12</f>
        <v>0</v>
      </c>
      <c r="J54" s="975">
        <f>+landbouw!I12</f>
        <v>0</v>
      </c>
      <c r="K54" s="975">
        <f>+landbouw!J12</f>
        <v>59.047943454685246</v>
      </c>
      <c r="L54" s="975">
        <f>+landbouw!K12</f>
        <v>0</v>
      </c>
      <c r="M54" s="975">
        <f>+landbouw!L12</f>
        <v>0</v>
      </c>
      <c r="N54" s="975">
        <f>+landbouw!M12</f>
        <v>0</v>
      </c>
      <c r="O54" s="975">
        <f>+landbouw!N12</f>
        <v>0</v>
      </c>
      <c r="P54" s="975">
        <f>+landbouw!O12</f>
        <v>0</v>
      </c>
      <c r="Q54" s="976">
        <f>+landbouw!P12</f>
        <v>0</v>
      </c>
      <c r="R54" s="708">
        <f ca="1">SUM(C54:Q54)</f>
        <v>2359.6638331117038</v>
      </c>
    </row>
    <row r="55" spans="1:18" ht="15" thickBot="1">
      <c r="A55" s="807" t="s">
        <v>895</v>
      </c>
      <c r="B55" s="817"/>
      <c r="C55" s="975">
        <f ca="1">C25*'EF ele_warmte'!B12</f>
        <v>92.503004460954998</v>
      </c>
      <c r="D55" s="975"/>
      <c r="E55" s="975">
        <f>E25*EF_CO2_aardgas</f>
        <v>163.71161207550313</v>
      </c>
      <c r="F55" s="975"/>
      <c r="G55" s="975"/>
      <c r="H55" s="975"/>
      <c r="I55" s="975"/>
      <c r="J55" s="975"/>
      <c r="K55" s="975"/>
      <c r="L55" s="975"/>
      <c r="M55" s="975"/>
      <c r="N55" s="975"/>
      <c r="O55" s="975"/>
      <c r="P55" s="975"/>
      <c r="Q55" s="976"/>
      <c r="R55" s="708">
        <f ca="1">SUM(C55:Q55)</f>
        <v>256.21461653645815</v>
      </c>
    </row>
    <row r="56" spans="1:18" ht="15.75" thickBot="1">
      <c r="A56" s="805" t="s">
        <v>896</v>
      </c>
      <c r="B56" s="818"/>
      <c r="C56" s="709">
        <f ca="1">SUM(C54:C55)</f>
        <v>239.91469325444024</v>
      </c>
      <c r="D56" s="709">
        <f t="shared" ref="D56:Q56" ca="1" si="7">SUM(D54:D55)</f>
        <v>0</v>
      </c>
      <c r="E56" s="709">
        <f t="shared" si="7"/>
        <v>177.76737439507184</v>
      </c>
      <c r="F56" s="709">
        <f t="shared" si="7"/>
        <v>4.4398769710163819</v>
      </c>
      <c r="G56" s="709">
        <f t="shared" si="7"/>
        <v>2134.7085615729484</v>
      </c>
      <c r="H56" s="709">
        <f t="shared" si="7"/>
        <v>0</v>
      </c>
      <c r="I56" s="709">
        <f t="shared" si="7"/>
        <v>0</v>
      </c>
      <c r="J56" s="709">
        <f t="shared" si="7"/>
        <v>0</v>
      </c>
      <c r="K56" s="709">
        <f t="shared" si="7"/>
        <v>59.047943454685246</v>
      </c>
      <c r="L56" s="709">
        <f t="shared" si="7"/>
        <v>0</v>
      </c>
      <c r="M56" s="709">
        <f t="shared" si="7"/>
        <v>0</v>
      </c>
      <c r="N56" s="709">
        <f t="shared" si="7"/>
        <v>0</v>
      </c>
      <c r="O56" s="709">
        <f t="shared" si="7"/>
        <v>0</v>
      </c>
      <c r="P56" s="709">
        <f t="shared" si="7"/>
        <v>0</v>
      </c>
      <c r="Q56" s="710">
        <f t="shared" si="7"/>
        <v>0</v>
      </c>
      <c r="R56" s="711">
        <f ca="1">SUM(R54:R55)</f>
        <v>2615.8784496481621</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2274.6542552160054</v>
      </c>
      <c r="D61" s="717">
        <f t="shared" ref="D61:Q61" ca="1" si="8">D46+D52+D56</f>
        <v>0</v>
      </c>
      <c r="E61" s="717">
        <f t="shared" ca="1" si="8"/>
        <v>5371.4446378577595</v>
      </c>
      <c r="F61" s="717">
        <f t="shared" si="8"/>
        <v>324.28293733776462</v>
      </c>
      <c r="G61" s="717">
        <f t="shared" ca="1" si="8"/>
        <v>12280.508935066466</v>
      </c>
      <c r="H61" s="717">
        <f t="shared" si="8"/>
        <v>7989.6837602952492</v>
      </c>
      <c r="I61" s="717">
        <f t="shared" si="8"/>
        <v>1526.8996907765718</v>
      </c>
      <c r="J61" s="717">
        <f t="shared" si="8"/>
        <v>0</v>
      </c>
      <c r="K61" s="717">
        <f t="shared" si="8"/>
        <v>348.05035805289918</v>
      </c>
      <c r="L61" s="717">
        <f t="shared" si="8"/>
        <v>0</v>
      </c>
      <c r="M61" s="717">
        <f t="shared" ca="1" si="8"/>
        <v>0</v>
      </c>
      <c r="N61" s="717">
        <f t="shared" si="8"/>
        <v>0</v>
      </c>
      <c r="O61" s="717">
        <f t="shared" ca="1" si="8"/>
        <v>0</v>
      </c>
      <c r="P61" s="717">
        <f t="shared" si="8"/>
        <v>0</v>
      </c>
      <c r="Q61" s="717">
        <f t="shared" si="8"/>
        <v>0</v>
      </c>
      <c r="R61" s="717">
        <f ca="1">R46+R52+R56</f>
        <v>30115.524574602714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7.8926974364069022E-2</v>
      </c>
      <c r="D63" s="761">
        <f t="shared" ca="1" si="9"/>
        <v>0</v>
      </c>
      <c r="E63" s="977">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986.17889098563592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17541</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20636.470588235294</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18527.178890985637</v>
      </c>
      <c r="C78" s="732">
        <f>SUM(C72:C77)</f>
        <v>0</v>
      </c>
      <c r="D78" s="733">
        <f t="shared" ref="D78:H78" si="10">SUM(D76:D77)</f>
        <v>0</v>
      </c>
      <c r="E78" s="733">
        <f t="shared" si="10"/>
        <v>0</v>
      </c>
      <c r="F78" s="733">
        <f t="shared" si="10"/>
        <v>0</v>
      </c>
      <c r="G78" s="733">
        <f t="shared" si="10"/>
        <v>0</v>
      </c>
      <c r="H78" s="733">
        <f t="shared" si="10"/>
        <v>0</v>
      </c>
      <c r="I78" s="733">
        <f>SUM(I76:I77)</f>
        <v>0</v>
      </c>
      <c r="J78" s="733">
        <f>SUM(J76:J77)</f>
        <v>20636.470588235294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25058.571428571428</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29480.672268907561</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25058.571428571428</v>
      </c>
      <c r="C90" s="732">
        <f>SUM(C87:C89)</f>
        <v>0</v>
      </c>
      <c r="D90" s="732">
        <f t="shared" ref="D90:H90" si="12">SUM(D87:D89)</f>
        <v>0</v>
      </c>
      <c r="E90" s="732">
        <f t="shared" si="12"/>
        <v>0</v>
      </c>
      <c r="F90" s="732">
        <f t="shared" si="12"/>
        <v>0</v>
      </c>
      <c r="G90" s="732">
        <f t="shared" si="12"/>
        <v>0</v>
      </c>
      <c r="H90" s="732">
        <f t="shared" si="12"/>
        <v>0</v>
      </c>
      <c r="I90" s="732">
        <f>SUM(I87:I89)</f>
        <v>0</v>
      </c>
      <c r="J90" s="732">
        <f>SUM(J87:J89)</f>
        <v>29480.672268907561</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16986.537636976806</v>
      </c>
      <c r="C4" s="449">
        <f>huishoudens!C8</f>
        <v>0</v>
      </c>
      <c r="D4" s="449">
        <f>huishoudens!D8</f>
        <v>18171.595734405208</v>
      </c>
      <c r="E4" s="449">
        <f>huishoudens!E8</f>
        <v>1056.038470258251</v>
      </c>
      <c r="F4" s="449">
        <f>huishoudens!F8</f>
        <v>36047.234956421766</v>
      </c>
      <c r="G4" s="449">
        <f>huishoudens!G8</f>
        <v>0</v>
      </c>
      <c r="H4" s="449">
        <f>huishoudens!H8</f>
        <v>0</v>
      </c>
      <c r="I4" s="449">
        <f>huishoudens!I8</f>
        <v>0</v>
      </c>
      <c r="J4" s="449">
        <f>huishoudens!J8</f>
        <v>811.69234112585116</v>
      </c>
      <c r="K4" s="449">
        <f>huishoudens!K8</f>
        <v>0</v>
      </c>
      <c r="L4" s="449">
        <f>huishoudens!L8</f>
        <v>0</v>
      </c>
      <c r="M4" s="449">
        <f>huishoudens!M8</f>
        <v>0</v>
      </c>
      <c r="N4" s="449">
        <f>huishoudens!N8</f>
        <v>4300.8196807793884</v>
      </c>
      <c r="O4" s="449">
        <f>huishoudens!O8</f>
        <v>51.589999999999996</v>
      </c>
      <c r="P4" s="450">
        <f>huishoudens!P8</f>
        <v>95.333333333333343</v>
      </c>
      <c r="Q4" s="451">
        <f>SUM(B4:P4)</f>
        <v>77520.842153300589</v>
      </c>
    </row>
    <row r="5" spans="1:17">
      <c r="A5" s="448" t="s">
        <v>155</v>
      </c>
      <c r="B5" s="449">
        <f ca="1">tertiair!B16</f>
        <v>6766.5282643975897</v>
      </c>
      <c r="C5" s="449">
        <f ca="1">tertiair!C16</f>
        <v>0</v>
      </c>
      <c r="D5" s="449">
        <f ca="1">tertiair!D16</f>
        <v>6590.6773087053625</v>
      </c>
      <c r="E5" s="449">
        <f>tertiair!E16</f>
        <v>142.95012763350633</v>
      </c>
      <c r="F5" s="449">
        <f ca="1">tertiair!F16</f>
        <v>1274.6742022796871</v>
      </c>
      <c r="G5" s="449">
        <f>tertiair!G16</f>
        <v>0</v>
      </c>
      <c r="H5" s="449">
        <f>tertiair!H16</f>
        <v>0</v>
      </c>
      <c r="I5" s="449">
        <f>tertiair!I16</f>
        <v>0</v>
      </c>
      <c r="J5" s="449">
        <f>tertiair!J16</f>
        <v>0</v>
      </c>
      <c r="K5" s="449">
        <f>tertiair!K16</f>
        <v>0</v>
      </c>
      <c r="L5" s="449">
        <f ca="1">tertiair!L16</f>
        <v>0</v>
      </c>
      <c r="M5" s="449">
        <f>tertiair!M16</f>
        <v>0</v>
      </c>
      <c r="N5" s="449">
        <f ca="1">tertiair!N16</f>
        <v>287.01939145122151</v>
      </c>
      <c r="O5" s="449">
        <f>tertiair!O16</f>
        <v>3.1266666666666669</v>
      </c>
      <c r="P5" s="450">
        <f>tertiair!P16</f>
        <v>19.066666666666666</v>
      </c>
      <c r="Q5" s="448">
        <f t="shared" ref="Q5:Q14" ca="1" si="0">SUM(B5:P5)</f>
        <v>15084.042627800703</v>
      </c>
    </row>
    <row r="6" spans="1:17">
      <c r="A6" s="448" t="s">
        <v>193</v>
      </c>
      <c r="B6" s="449">
        <f>'openbare verlichting'!B8</f>
        <v>653.81399999999996</v>
      </c>
      <c r="C6" s="449"/>
      <c r="D6" s="449"/>
      <c r="E6" s="449"/>
      <c r="F6" s="449"/>
      <c r="G6" s="449"/>
      <c r="H6" s="449"/>
      <c r="I6" s="449"/>
      <c r="J6" s="449"/>
      <c r="K6" s="449"/>
      <c r="L6" s="449"/>
      <c r="M6" s="449"/>
      <c r="N6" s="449"/>
      <c r="O6" s="449"/>
      <c r="P6" s="450"/>
      <c r="Q6" s="448">
        <f t="shared" si="0"/>
        <v>653.81399999999996</v>
      </c>
    </row>
    <row r="7" spans="1:17">
      <c r="A7" s="448" t="s">
        <v>111</v>
      </c>
      <c r="B7" s="449">
        <f>landbouw!B8</f>
        <v>1867.697197076307</v>
      </c>
      <c r="C7" s="449">
        <f>landbouw!C8</f>
        <v>25058.571428571428</v>
      </c>
      <c r="D7" s="449">
        <f>landbouw!D8</f>
        <v>69.58298178004307</v>
      </c>
      <c r="E7" s="449">
        <f>landbouw!E8</f>
        <v>19.558929387737365</v>
      </c>
      <c r="F7" s="449">
        <f>landbouw!F8</f>
        <v>7995.1631519586072</v>
      </c>
      <c r="G7" s="449">
        <f>landbouw!G8</f>
        <v>0</v>
      </c>
      <c r="H7" s="449">
        <f>landbouw!H8</f>
        <v>0</v>
      </c>
      <c r="I7" s="449">
        <f>landbouw!I8</f>
        <v>0</v>
      </c>
      <c r="J7" s="449">
        <f>landbouw!J8</f>
        <v>166.8021001544781</v>
      </c>
      <c r="K7" s="449">
        <f>landbouw!K8</f>
        <v>0</v>
      </c>
      <c r="L7" s="449">
        <f>landbouw!L8</f>
        <v>0</v>
      </c>
      <c r="M7" s="449">
        <f>landbouw!M8</f>
        <v>0</v>
      </c>
      <c r="N7" s="449">
        <f>landbouw!N8</f>
        <v>0</v>
      </c>
      <c r="O7" s="449">
        <f>landbouw!O8</f>
        <v>0</v>
      </c>
      <c r="P7" s="450">
        <f>landbouw!P8</f>
        <v>0</v>
      </c>
      <c r="Q7" s="448">
        <f t="shared" si="0"/>
        <v>35177.375788928599</v>
      </c>
    </row>
    <row r="8" spans="1:17">
      <c r="A8" s="448" t="s">
        <v>643</v>
      </c>
      <c r="B8" s="449">
        <f>industrie!B18</f>
        <v>1369.6385217632615</v>
      </c>
      <c r="C8" s="449">
        <f>industrie!C18</f>
        <v>0</v>
      </c>
      <c r="D8" s="449">
        <f>industrie!D18</f>
        <v>947.07721671831064</v>
      </c>
      <c r="E8" s="449">
        <f>industrie!E18</f>
        <v>18.405479928405683</v>
      </c>
      <c r="F8" s="449">
        <f>industrie!F18</f>
        <v>677.34317648025228</v>
      </c>
      <c r="G8" s="449">
        <f>industrie!G18</f>
        <v>0</v>
      </c>
      <c r="H8" s="449">
        <f>industrie!H18</f>
        <v>0</v>
      </c>
      <c r="I8" s="449">
        <f>industrie!I18</f>
        <v>0</v>
      </c>
      <c r="J8" s="449">
        <f>industrie!J18</f>
        <v>4.6986605640188408</v>
      </c>
      <c r="K8" s="449">
        <f>industrie!K18</f>
        <v>0</v>
      </c>
      <c r="L8" s="449">
        <f>industrie!L18</f>
        <v>0</v>
      </c>
      <c r="M8" s="449">
        <f>industrie!M18</f>
        <v>0</v>
      </c>
      <c r="N8" s="449">
        <f>industrie!N18</f>
        <v>62.755171840441307</v>
      </c>
      <c r="O8" s="449">
        <f>industrie!O18</f>
        <v>0</v>
      </c>
      <c r="P8" s="450">
        <f>industrie!P18</f>
        <v>0</v>
      </c>
      <c r="Q8" s="448">
        <f t="shared" si="0"/>
        <v>3079.91822729469</v>
      </c>
    </row>
    <row r="9" spans="1:17" s="454" customFormat="1">
      <c r="A9" s="452" t="s">
        <v>562</v>
      </c>
      <c r="B9" s="453">
        <f>transport!B14</f>
        <v>0.42103400796162255</v>
      </c>
      <c r="C9" s="453">
        <f>transport!C14</f>
        <v>0</v>
      </c>
      <c r="D9" s="453">
        <f>transport!D14</f>
        <v>1.9233216695726554</v>
      </c>
      <c r="E9" s="453">
        <f>transport!E14</f>
        <v>191.60618811264851</v>
      </c>
      <c r="F9" s="453">
        <f>transport!F14</f>
        <v>0</v>
      </c>
      <c r="G9" s="453">
        <f>transport!G14</f>
        <v>29254.01030908195</v>
      </c>
      <c r="H9" s="453">
        <f>transport!H14</f>
        <v>6132.1272721950672</v>
      </c>
      <c r="I9" s="453">
        <f>transport!I14</f>
        <v>0</v>
      </c>
      <c r="J9" s="453">
        <f>transport!J14</f>
        <v>0</v>
      </c>
      <c r="K9" s="453">
        <f>transport!K14</f>
        <v>0</v>
      </c>
      <c r="L9" s="453">
        <f>transport!L14</f>
        <v>0</v>
      </c>
      <c r="M9" s="453">
        <f>transport!M14</f>
        <v>1542.4702739119039</v>
      </c>
      <c r="N9" s="453">
        <f>transport!N14</f>
        <v>0</v>
      </c>
      <c r="O9" s="453">
        <f>transport!O14</f>
        <v>0</v>
      </c>
      <c r="P9" s="453">
        <f>transport!P14</f>
        <v>0</v>
      </c>
      <c r="Q9" s="452">
        <f>SUM(B9:P9)</f>
        <v>37122.558398979105</v>
      </c>
    </row>
    <row r="10" spans="1:17">
      <c r="A10" s="448" t="s">
        <v>552</v>
      </c>
      <c r="B10" s="449">
        <f>transport!B54</f>
        <v>3.0879461076216832</v>
      </c>
      <c r="C10" s="449">
        <f>transport!C54</f>
        <v>0</v>
      </c>
      <c r="D10" s="449">
        <f>transport!D54</f>
        <v>0</v>
      </c>
      <c r="E10" s="449">
        <f>transport!E54</f>
        <v>0</v>
      </c>
      <c r="F10" s="449">
        <f>transport!F54</f>
        <v>0</v>
      </c>
      <c r="G10" s="449">
        <f>transport!G54</f>
        <v>669.89890550699806</v>
      </c>
      <c r="H10" s="449">
        <f>transport!H54</f>
        <v>0</v>
      </c>
      <c r="I10" s="449">
        <f>transport!I54</f>
        <v>0</v>
      </c>
      <c r="J10" s="449">
        <f>transport!J54</f>
        <v>0</v>
      </c>
      <c r="K10" s="449">
        <f>transport!K54</f>
        <v>0</v>
      </c>
      <c r="L10" s="449">
        <f>transport!L54</f>
        <v>0</v>
      </c>
      <c r="M10" s="449">
        <f>transport!M54</f>
        <v>28.682497885290203</v>
      </c>
      <c r="N10" s="449">
        <f>transport!N54</f>
        <v>0</v>
      </c>
      <c r="O10" s="449">
        <f>transport!O54</f>
        <v>0</v>
      </c>
      <c r="P10" s="450">
        <f>transport!P54</f>
        <v>0</v>
      </c>
      <c r="Q10" s="448">
        <f t="shared" si="0"/>
        <v>701.66934949990991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1172.0074816787399</v>
      </c>
      <c r="C14" s="456"/>
      <c r="D14" s="456">
        <f>'SEAP template'!E25</f>
        <v>810.453525126253</v>
      </c>
      <c r="E14" s="456"/>
      <c r="F14" s="456"/>
      <c r="G14" s="456"/>
      <c r="H14" s="456"/>
      <c r="I14" s="456"/>
      <c r="J14" s="456"/>
      <c r="K14" s="456"/>
      <c r="L14" s="456"/>
      <c r="M14" s="456"/>
      <c r="N14" s="456"/>
      <c r="O14" s="456"/>
      <c r="P14" s="457"/>
      <c r="Q14" s="448">
        <f t="shared" si="0"/>
        <v>1982.4610068049928</v>
      </c>
    </row>
    <row r="15" spans="1:17" s="461" customFormat="1">
      <c r="A15" s="458" t="s">
        <v>556</v>
      </c>
      <c r="B15" s="459">
        <f ca="1">SUM(B4:B14)</f>
        <v>28819.732082008282</v>
      </c>
      <c r="C15" s="459">
        <f t="shared" ref="C15:Q15" ca="1" si="1">SUM(C4:C14)</f>
        <v>25058.571428571428</v>
      </c>
      <c r="D15" s="459">
        <f t="shared" ca="1" si="1"/>
        <v>26591.310088404749</v>
      </c>
      <c r="E15" s="459">
        <f t="shared" si="1"/>
        <v>1428.559195320549</v>
      </c>
      <c r="F15" s="459">
        <f t="shared" ca="1" si="1"/>
        <v>45994.415487140315</v>
      </c>
      <c r="G15" s="459">
        <f t="shared" si="1"/>
        <v>29923.909214588948</v>
      </c>
      <c r="H15" s="459">
        <f t="shared" si="1"/>
        <v>6132.1272721950672</v>
      </c>
      <c r="I15" s="459">
        <f t="shared" si="1"/>
        <v>0</v>
      </c>
      <c r="J15" s="459">
        <f t="shared" si="1"/>
        <v>983.19310184434812</v>
      </c>
      <c r="K15" s="459">
        <f t="shared" si="1"/>
        <v>0</v>
      </c>
      <c r="L15" s="459">
        <f t="shared" ca="1" si="1"/>
        <v>0</v>
      </c>
      <c r="M15" s="459">
        <f t="shared" si="1"/>
        <v>1571.152771797194</v>
      </c>
      <c r="N15" s="459">
        <f t="shared" ca="1" si="1"/>
        <v>4650.5942440710514</v>
      </c>
      <c r="O15" s="459">
        <f t="shared" si="1"/>
        <v>54.716666666666661</v>
      </c>
      <c r="P15" s="459">
        <f t="shared" si="1"/>
        <v>114.4</v>
      </c>
      <c r="Q15" s="459">
        <f t="shared" ca="1" si="1"/>
        <v>171322.68155260858</v>
      </c>
    </row>
    <row r="17" spans="1:17">
      <c r="A17" s="462" t="s">
        <v>557</v>
      </c>
      <c r="B17" s="766">
        <f ca="1">huishoudens!B10</f>
        <v>7.8926974364069022E-2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1340.6960206079618</v>
      </c>
      <c r="C22" s="449">
        <f t="shared" ref="C22:C32" ca="1" si="3">C4*$C$17</f>
        <v>0</v>
      </c>
      <c r="D22" s="449">
        <f t="shared" ref="D22:D32" si="4">D4*$D$17</f>
        <v>3670.6623383498522</v>
      </c>
      <c r="E22" s="449">
        <f t="shared" ref="E22:E32" si="5">E4*$E$17</f>
        <v>239.72073274862299</v>
      </c>
      <c r="F22" s="449">
        <f t="shared" ref="F22:F32" si="6">F4*$F$17</f>
        <v>9624.6117333646125</v>
      </c>
      <c r="G22" s="449">
        <f t="shared" ref="G22:G32" si="7">G4*$G$17</f>
        <v>0</v>
      </c>
      <c r="H22" s="449">
        <f t="shared" ref="H22:H32" si="8">H4*$H$17</f>
        <v>0</v>
      </c>
      <c r="I22" s="449">
        <f t="shared" ref="I22:I32" si="9">I4*$I$17</f>
        <v>0</v>
      </c>
      <c r="J22" s="449">
        <f t="shared" ref="J22:J32" si="10">J4*$J$17</f>
        <v>287.33908875855127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15163.029913829601</v>
      </c>
    </row>
    <row r="23" spans="1:17">
      <c r="A23" s="448" t="s">
        <v>155</v>
      </c>
      <c r="B23" s="449">
        <f t="shared" ca="1" si="2"/>
        <v>534.061602857857</v>
      </c>
      <c r="C23" s="449">
        <f t="shared" ca="1" si="3"/>
        <v>0</v>
      </c>
      <c r="D23" s="449">
        <f t="shared" ca="1" si="4"/>
        <v>1331.3168163584833</v>
      </c>
      <c r="E23" s="449">
        <f t="shared" si="5"/>
        <v>32.449678972805934</v>
      </c>
      <c r="F23" s="449">
        <f t="shared" ca="1" si="6"/>
        <v>340.33801200867646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2238.1661101978225</v>
      </c>
    </row>
    <row r="24" spans="1:17">
      <c r="A24" s="448" t="s">
        <v>193</v>
      </c>
      <c r="B24" s="449">
        <f t="shared" ca="1" si="2"/>
        <v>51.603560816869418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51.603560816869418</v>
      </c>
    </row>
    <row r="25" spans="1:17">
      <c r="A25" s="448" t="s">
        <v>111</v>
      </c>
      <c r="B25" s="449">
        <f t="shared" ca="1" si="2"/>
        <v>147.41168879348524</v>
      </c>
      <c r="C25" s="449">
        <f t="shared" ca="1" si="3"/>
        <v>0</v>
      </c>
      <c r="D25" s="449">
        <f t="shared" si="4"/>
        <v>14.055762319568702</v>
      </c>
      <c r="E25" s="449">
        <f t="shared" si="5"/>
        <v>4.4398769710163819</v>
      </c>
      <c r="F25" s="449">
        <f t="shared" si="6"/>
        <v>2134.7085615729484</v>
      </c>
      <c r="G25" s="449">
        <f t="shared" si="7"/>
        <v>0</v>
      </c>
      <c r="H25" s="449">
        <f t="shared" si="8"/>
        <v>0</v>
      </c>
      <c r="I25" s="449">
        <f t="shared" si="9"/>
        <v>0</v>
      </c>
      <c r="J25" s="449">
        <f t="shared" si="10"/>
        <v>59.047943454685246</v>
      </c>
      <c r="K25" s="449">
        <f t="shared" si="11"/>
        <v>0</v>
      </c>
      <c r="L25" s="449">
        <f t="shared" si="12"/>
        <v>0</v>
      </c>
      <c r="M25" s="449">
        <f t="shared" si="13"/>
        <v>0</v>
      </c>
      <c r="N25" s="449">
        <f t="shared" si="14"/>
        <v>0</v>
      </c>
      <c r="O25" s="449">
        <f t="shared" si="15"/>
        <v>0</v>
      </c>
      <c r="P25" s="450">
        <f t="shared" si="16"/>
        <v>0</v>
      </c>
      <c r="Q25" s="448">
        <f t="shared" ca="1" si="17"/>
        <v>2359.6638331117038</v>
      </c>
    </row>
    <row r="26" spans="1:17">
      <c r="A26" s="448" t="s">
        <v>643</v>
      </c>
      <c r="B26" s="449">
        <f t="shared" ca="1" si="2"/>
        <v>108.10142449525033</v>
      </c>
      <c r="C26" s="449">
        <f t="shared" ca="1" si="3"/>
        <v>0</v>
      </c>
      <c r="D26" s="449">
        <f t="shared" si="4"/>
        <v>191.30959777709876</v>
      </c>
      <c r="E26" s="449">
        <f t="shared" si="5"/>
        <v>4.1780439437480901</v>
      </c>
      <c r="F26" s="449">
        <f t="shared" si="6"/>
        <v>180.85062812022736</v>
      </c>
      <c r="G26" s="449">
        <f t="shared" si="7"/>
        <v>0</v>
      </c>
      <c r="H26" s="449">
        <f t="shared" si="8"/>
        <v>0</v>
      </c>
      <c r="I26" s="449">
        <f t="shared" si="9"/>
        <v>0</v>
      </c>
      <c r="J26" s="449">
        <f t="shared" si="10"/>
        <v>1.6633258396626696</v>
      </c>
      <c r="K26" s="449">
        <f t="shared" si="11"/>
        <v>0</v>
      </c>
      <c r="L26" s="449">
        <f t="shared" si="12"/>
        <v>0</v>
      </c>
      <c r="M26" s="449">
        <f t="shared" si="13"/>
        <v>0</v>
      </c>
      <c r="N26" s="449">
        <f t="shared" si="14"/>
        <v>0</v>
      </c>
      <c r="O26" s="449">
        <f t="shared" si="15"/>
        <v>0</v>
      </c>
      <c r="P26" s="450">
        <f t="shared" si="16"/>
        <v>0</v>
      </c>
      <c r="Q26" s="448">
        <f t="shared" ca="1" si="17"/>
        <v>486.10302017598724</v>
      </c>
    </row>
    <row r="27" spans="1:17" s="454" customFormat="1">
      <c r="A27" s="452" t="s">
        <v>562</v>
      </c>
      <c r="B27" s="760">
        <f t="shared" ca="1" si="2"/>
        <v>3.3230940352788216E-2</v>
      </c>
      <c r="C27" s="453">
        <f t="shared" ca="1" si="3"/>
        <v>0</v>
      </c>
      <c r="D27" s="453">
        <f t="shared" si="4"/>
        <v>0.38851097725367639</v>
      </c>
      <c r="E27" s="453">
        <f t="shared" si="5"/>
        <v>43.494604701571213</v>
      </c>
      <c r="F27" s="453">
        <f t="shared" si="6"/>
        <v>0</v>
      </c>
      <c r="G27" s="453">
        <f t="shared" si="7"/>
        <v>7810.8207525248808</v>
      </c>
      <c r="H27" s="453">
        <f t="shared" si="8"/>
        <v>1526.8996907765718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9381.6367899206307</v>
      </c>
    </row>
    <row r="28" spans="1:17">
      <c r="A28" s="448" t="s">
        <v>552</v>
      </c>
      <c r="B28" s="449">
        <f t="shared" ca="1" si="2"/>
        <v>0.24372224327388331</v>
      </c>
      <c r="C28" s="449">
        <f t="shared" ca="1" si="3"/>
        <v>0</v>
      </c>
      <c r="D28" s="449">
        <f t="shared" si="4"/>
        <v>0</v>
      </c>
      <c r="E28" s="449">
        <f t="shared" si="5"/>
        <v>0</v>
      </c>
      <c r="F28" s="449">
        <f t="shared" si="6"/>
        <v>0</v>
      </c>
      <c r="G28" s="449">
        <f t="shared" si="7"/>
        <v>178.86300777036848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179.10673001364236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92.503004460954998</v>
      </c>
      <c r="C32" s="449">
        <f t="shared" ca="1" si="3"/>
        <v>0</v>
      </c>
      <c r="D32" s="449">
        <f t="shared" si="4"/>
        <v>163.71161207550313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256.21461653645815</v>
      </c>
    </row>
    <row r="33" spans="1:17" s="461" customFormat="1">
      <c r="A33" s="458" t="s">
        <v>556</v>
      </c>
      <c r="B33" s="459">
        <f ca="1">SUM(B22:B32)</f>
        <v>2274.6542552160058</v>
      </c>
      <c r="C33" s="459">
        <f t="shared" ref="C33:Q33" ca="1" si="19">SUM(C22:C32)</f>
        <v>0</v>
      </c>
      <c r="D33" s="459">
        <f t="shared" ca="1" si="19"/>
        <v>5371.4446378577595</v>
      </c>
      <c r="E33" s="459">
        <f t="shared" si="19"/>
        <v>324.28293733776462</v>
      </c>
      <c r="F33" s="459">
        <f t="shared" ca="1" si="19"/>
        <v>12280.508935066466</v>
      </c>
      <c r="G33" s="459">
        <f t="shared" si="19"/>
        <v>7989.6837602952492</v>
      </c>
      <c r="H33" s="459">
        <f t="shared" si="19"/>
        <v>1526.8996907765718</v>
      </c>
      <c r="I33" s="459">
        <f t="shared" si="19"/>
        <v>0</v>
      </c>
      <c r="J33" s="459">
        <f t="shared" si="19"/>
        <v>348.05035805289918</v>
      </c>
      <c r="K33" s="459">
        <f t="shared" si="19"/>
        <v>0</v>
      </c>
      <c r="L33" s="459">
        <f t="shared" ca="1" si="19"/>
        <v>0</v>
      </c>
      <c r="M33" s="459">
        <f t="shared" si="19"/>
        <v>0</v>
      </c>
      <c r="N33" s="459">
        <f t="shared" ca="1" si="19"/>
        <v>0</v>
      </c>
      <c r="O33" s="459">
        <f t="shared" si="19"/>
        <v>0</v>
      </c>
      <c r="P33" s="459">
        <f t="shared" si="19"/>
        <v>0</v>
      </c>
      <c r="Q33" s="459">
        <f t="shared" ca="1" si="19"/>
        <v>30115.52457460271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986.17889098563592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17541</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20636.470588235294</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18527.178890985637</v>
      </c>
      <c r="C10" s="1012">
        <f>SUM(C4:C9)</f>
        <v>0</v>
      </c>
      <c r="D10" s="1012">
        <f t="shared" ref="D10:H10" si="0">SUM(D8:D9)</f>
        <v>0</v>
      </c>
      <c r="E10" s="1012">
        <f t="shared" si="0"/>
        <v>0</v>
      </c>
      <c r="F10" s="1012">
        <f t="shared" si="0"/>
        <v>0</v>
      </c>
      <c r="G10" s="1012">
        <f t="shared" si="0"/>
        <v>0</v>
      </c>
      <c r="H10" s="1012">
        <f t="shared" si="0"/>
        <v>0</v>
      </c>
      <c r="I10" s="1012">
        <f>SUM(I8:I9)</f>
        <v>0</v>
      </c>
      <c r="J10" s="1012">
        <f>SUM(J8:J9)</f>
        <v>20636.470588235294</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7.8926974364069022E-2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25058.571428571428</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29480.672268907561</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25058.571428571428</v>
      </c>
      <c r="C20" s="1012">
        <f>SUM(C17:C19)</f>
        <v>0</v>
      </c>
      <c r="D20" s="1012">
        <f t="shared" ref="D20:H20" si="2">SUM(D17:D19)</f>
        <v>0</v>
      </c>
      <c r="E20" s="1012">
        <f t="shared" si="2"/>
        <v>0</v>
      </c>
      <c r="F20" s="1012">
        <f t="shared" si="2"/>
        <v>0</v>
      </c>
      <c r="G20" s="1012">
        <f t="shared" si="2"/>
        <v>0</v>
      </c>
      <c r="H20" s="1012">
        <f t="shared" si="2"/>
        <v>0</v>
      </c>
      <c r="I20" s="1012">
        <f>SUM(I17:I19)</f>
        <v>0</v>
      </c>
      <c r="J20" s="1012">
        <f>SUM(J17:J19)</f>
        <v>29480.672268907561</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7.8926974364069022E-2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7.8926974364069022E-2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7.8926974364069022E-2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3330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2822</v>
      </c>
      <c r="C14" s="326"/>
      <c r="D14" s="326"/>
      <c r="E14" s="326"/>
      <c r="F14" s="326"/>
    </row>
    <row r="15" spans="1:6">
      <c r="A15" s="1282" t="s">
        <v>183</v>
      </c>
      <c r="B15" s="1283">
        <v>51</v>
      </c>
      <c r="C15" s="326"/>
      <c r="D15" s="326"/>
      <c r="E15" s="326"/>
      <c r="F15" s="326"/>
    </row>
    <row r="16" spans="1:6">
      <c r="A16" s="1282" t="s">
        <v>6</v>
      </c>
      <c r="B16" s="1283">
        <v>2175</v>
      </c>
      <c r="C16" s="326"/>
      <c r="D16" s="326"/>
      <c r="E16" s="326"/>
      <c r="F16" s="326"/>
    </row>
    <row r="17" spans="1:6">
      <c r="A17" s="1282" t="s">
        <v>7</v>
      </c>
      <c r="B17" s="1283">
        <v>823</v>
      </c>
      <c r="C17" s="326"/>
      <c r="D17" s="326"/>
      <c r="E17" s="326"/>
      <c r="F17" s="326"/>
    </row>
    <row r="18" spans="1:6">
      <c r="A18" s="1282" t="s">
        <v>8</v>
      </c>
      <c r="B18" s="1283">
        <v>1904</v>
      </c>
      <c r="C18" s="326"/>
      <c r="D18" s="326"/>
      <c r="E18" s="326"/>
      <c r="F18" s="326"/>
    </row>
    <row r="19" spans="1:6">
      <c r="A19" s="1282" t="s">
        <v>9</v>
      </c>
      <c r="B19" s="1283">
        <v>1865</v>
      </c>
      <c r="C19" s="326"/>
      <c r="D19" s="326"/>
      <c r="E19" s="326"/>
      <c r="F19" s="326"/>
    </row>
    <row r="20" spans="1:6">
      <c r="A20" s="1282" t="s">
        <v>10</v>
      </c>
      <c r="B20" s="1283">
        <v>1385</v>
      </c>
      <c r="C20" s="326"/>
      <c r="D20" s="326"/>
      <c r="E20" s="326"/>
      <c r="F20" s="326"/>
    </row>
    <row r="21" spans="1:6">
      <c r="A21" s="1282" t="s">
        <v>11</v>
      </c>
      <c r="B21" s="1283">
        <v>3353</v>
      </c>
      <c r="C21" s="326"/>
      <c r="D21" s="326"/>
      <c r="E21" s="326"/>
      <c r="F21" s="326"/>
    </row>
    <row r="22" spans="1:6">
      <c r="A22" s="1282" t="s">
        <v>12</v>
      </c>
      <c r="B22" s="1283">
        <v>13487</v>
      </c>
      <c r="C22" s="326"/>
      <c r="D22" s="326"/>
      <c r="E22" s="326"/>
      <c r="F22" s="326"/>
    </row>
    <row r="23" spans="1:6">
      <c r="A23" s="1282" t="s">
        <v>13</v>
      </c>
      <c r="B23" s="1283">
        <v>175</v>
      </c>
      <c r="C23" s="326"/>
      <c r="D23" s="326"/>
      <c r="E23" s="326"/>
      <c r="F23" s="326"/>
    </row>
    <row r="24" spans="1:6">
      <c r="A24" s="1282" t="s">
        <v>14</v>
      </c>
      <c r="B24" s="1283">
        <v>12</v>
      </c>
      <c r="C24" s="326"/>
      <c r="D24" s="326"/>
      <c r="E24" s="326"/>
      <c r="F24" s="326"/>
    </row>
    <row r="25" spans="1:6">
      <c r="A25" s="1282" t="s">
        <v>15</v>
      </c>
      <c r="B25" s="1283">
        <v>843</v>
      </c>
      <c r="C25" s="326"/>
      <c r="D25" s="326"/>
      <c r="E25" s="326"/>
      <c r="F25" s="326"/>
    </row>
    <row r="26" spans="1:6">
      <c r="A26" s="1282" t="s">
        <v>16</v>
      </c>
      <c r="B26" s="1283">
        <v>43</v>
      </c>
      <c r="C26" s="326"/>
      <c r="D26" s="326"/>
      <c r="E26" s="326"/>
      <c r="F26" s="326"/>
    </row>
    <row r="27" spans="1:6">
      <c r="A27" s="1282" t="s">
        <v>17</v>
      </c>
      <c r="B27" s="1283">
        <v>9</v>
      </c>
      <c r="C27" s="326"/>
      <c r="D27" s="326"/>
      <c r="E27" s="326"/>
      <c r="F27" s="326"/>
    </row>
    <row r="28" spans="1:6" s="43" customFormat="1">
      <c r="A28" s="1284" t="s">
        <v>18</v>
      </c>
      <c r="B28" s="1285">
        <v>96740</v>
      </c>
      <c r="C28" s="332"/>
      <c r="D28" s="332"/>
      <c r="E28" s="332"/>
      <c r="F28" s="332"/>
    </row>
    <row r="29" spans="1:6">
      <c r="A29" s="1284" t="s">
        <v>978</v>
      </c>
      <c r="B29" s="1285">
        <v>56</v>
      </c>
      <c r="C29" s="332"/>
      <c r="D29" s="332"/>
      <c r="E29" s="332"/>
      <c r="F29" s="332"/>
    </row>
    <row r="30" spans="1:6">
      <c r="A30" s="1277" t="s">
        <v>979</v>
      </c>
      <c r="B30" s="1286">
        <v>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4</v>
      </c>
      <c r="F38" s="1283">
        <v>69944.325300157201</v>
      </c>
    </row>
    <row r="39" spans="1:6">
      <c r="A39" s="1282" t="s">
        <v>29</v>
      </c>
      <c r="B39" s="1282" t="s">
        <v>30</v>
      </c>
      <c r="C39" s="1283">
        <v>1197</v>
      </c>
      <c r="D39" s="1283">
        <v>20145893.275393799</v>
      </c>
      <c r="E39" s="1283">
        <v>3036</v>
      </c>
      <c r="F39" s="1283">
        <v>16189407.0805293</v>
      </c>
    </row>
    <row r="40" spans="1:6">
      <c r="A40" s="1282" t="s">
        <v>29</v>
      </c>
      <c r="B40" s="1282" t="s">
        <v>28</v>
      </c>
      <c r="C40" s="1283">
        <v>0</v>
      </c>
      <c r="D40" s="1283">
        <v>0</v>
      </c>
      <c r="E40" s="1283">
        <v>0</v>
      </c>
      <c r="F40" s="1283">
        <v>0</v>
      </c>
    </row>
    <row r="41" spans="1:6">
      <c r="A41" s="1282" t="s">
        <v>31</v>
      </c>
      <c r="B41" s="1282" t="s">
        <v>32</v>
      </c>
      <c r="C41" s="1283">
        <v>15</v>
      </c>
      <c r="D41" s="1283">
        <v>365183.53072909702</v>
      </c>
      <c r="E41" s="1283">
        <v>71</v>
      </c>
      <c r="F41" s="1283">
        <v>714440.07829822996</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4</v>
      </c>
      <c r="F44" s="1283">
        <v>62723.895869132</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27613.1867575504</v>
      </c>
    </row>
    <row r="48" spans="1:6">
      <c r="A48" s="1282" t="s">
        <v>31</v>
      </c>
      <c r="B48" s="1282" t="s">
        <v>28</v>
      </c>
      <c r="C48" s="1283">
        <v>21</v>
      </c>
      <c r="D48" s="1283">
        <v>534580.78805181198</v>
      </c>
      <c r="E48" s="1283">
        <v>30</v>
      </c>
      <c r="F48" s="1283">
        <v>387664.78210305102</v>
      </c>
    </row>
    <row r="49" spans="1:6">
      <c r="A49" s="1282" t="s">
        <v>31</v>
      </c>
      <c r="B49" s="1282" t="s">
        <v>39</v>
      </c>
      <c r="C49" s="1283">
        <v>0</v>
      </c>
      <c r="D49" s="1283">
        <v>0</v>
      </c>
      <c r="E49" s="1283">
        <v>0</v>
      </c>
      <c r="F49" s="1283">
        <v>0</v>
      </c>
    </row>
    <row r="50" spans="1:6">
      <c r="A50" s="1282" t="s">
        <v>31</v>
      </c>
      <c r="B50" s="1282" t="s">
        <v>40</v>
      </c>
      <c r="C50" s="1283">
        <v>3</v>
      </c>
      <c r="D50" s="1283">
        <v>150210.42259194099</v>
      </c>
      <c r="E50" s="1283">
        <v>5</v>
      </c>
      <c r="F50" s="1283">
        <v>177196.57873529801</v>
      </c>
    </row>
    <row r="51" spans="1:6">
      <c r="A51" s="1282" t="s">
        <v>41</v>
      </c>
      <c r="B51" s="1282" t="s">
        <v>42</v>
      </c>
      <c r="C51" s="1283">
        <v>0</v>
      </c>
      <c r="D51" s="1283">
        <v>0</v>
      </c>
      <c r="E51" s="1283">
        <v>96</v>
      </c>
      <c r="F51" s="1283">
        <v>1578604.0828661199</v>
      </c>
    </row>
    <row r="52" spans="1:6">
      <c r="A52" s="1282" t="s">
        <v>41</v>
      </c>
      <c r="B52" s="1282" t="s">
        <v>28</v>
      </c>
      <c r="C52" s="1283">
        <v>4</v>
      </c>
      <c r="D52" s="1283">
        <v>77142.9953215555</v>
      </c>
      <c r="E52" s="1283">
        <v>11</v>
      </c>
      <c r="F52" s="1283">
        <v>289093.11421018699</v>
      </c>
    </row>
    <row r="53" spans="1:6">
      <c r="A53" s="1282" t="s">
        <v>43</v>
      </c>
      <c r="B53" s="1282" t="s">
        <v>44</v>
      </c>
      <c r="C53" s="1283">
        <v>43</v>
      </c>
      <c r="D53" s="1283">
        <v>810453.52512625302</v>
      </c>
      <c r="E53" s="1283">
        <v>150</v>
      </c>
      <c r="F53" s="1283">
        <v>1172007.4816787399</v>
      </c>
    </row>
    <row r="54" spans="1:6">
      <c r="A54" s="1282" t="s">
        <v>45</v>
      </c>
      <c r="B54" s="1282" t="s">
        <v>46</v>
      </c>
      <c r="C54" s="1283">
        <v>0</v>
      </c>
      <c r="D54" s="1283">
        <v>0</v>
      </c>
      <c r="E54" s="1283">
        <v>3</v>
      </c>
      <c r="F54" s="1283">
        <v>653814</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10</v>
      </c>
      <c r="D57" s="1283">
        <v>1429443.7563309399</v>
      </c>
      <c r="E57" s="1283">
        <v>25</v>
      </c>
      <c r="F57" s="1283">
        <v>848009.16630090401</v>
      </c>
    </row>
    <row r="58" spans="1:6">
      <c r="A58" s="1282" t="s">
        <v>48</v>
      </c>
      <c r="B58" s="1282" t="s">
        <v>50</v>
      </c>
      <c r="C58" s="1283">
        <v>0</v>
      </c>
      <c r="D58" s="1283">
        <v>0</v>
      </c>
      <c r="E58" s="1283">
        <v>12</v>
      </c>
      <c r="F58" s="1283">
        <v>97291.603519402895</v>
      </c>
    </row>
    <row r="59" spans="1:6">
      <c r="A59" s="1282" t="s">
        <v>48</v>
      </c>
      <c r="B59" s="1282" t="s">
        <v>51</v>
      </c>
      <c r="C59" s="1283">
        <v>14</v>
      </c>
      <c r="D59" s="1283">
        <v>377655.86750842899</v>
      </c>
      <c r="E59" s="1283">
        <v>75</v>
      </c>
      <c r="F59" s="1283">
        <v>1258388.5104052599</v>
      </c>
    </row>
    <row r="60" spans="1:6">
      <c r="A60" s="1282" t="s">
        <v>48</v>
      </c>
      <c r="B60" s="1282" t="s">
        <v>52</v>
      </c>
      <c r="C60" s="1283">
        <v>11</v>
      </c>
      <c r="D60" s="1283">
        <v>406433.79172947799</v>
      </c>
      <c r="E60" s="1283">
        <v>21</v>
      </c>
      <c r="F60" s="1283">
        <v>466403.043483463</v>
      </c>
    </row>
    <row r="61" spans="1:6">
      <c r="A61" s="1282" t="s">
        <v>48</v>
      </c>
      <c r="B61" s="1282" t="s">
        <v>53</v>
      </c>
      <c r="C61" s="1283">
        <v>31</v>
      </c>
      <c r="D61" s="1283">
        <v>1290246.1961955</v>
      </c>
      <c r="E61" s="1283">
        <v>110</v>
      </c>
      <c r="F61" s="1283">
        <v>1262241.9385289601</v>
      </c>
    </row>
    <row r="62" spans="1:6">
      <c r="A62" s="1282" t="s">
        <v>48</v>
      </c>
      <c r="B62" s="1282" t="s">
        <v>54</v>
      </c>
      <c r="C62" s="1283">
        <v>0</v>
      </c>
      <c r="D62" s="1283">
        <v>0</v>
      </c>
      <c r="E62" s="1283">
        <v>0</v>
      </c>
      <c r="F62" s="1283">
        <v>0</v>
      </c>
    </row>
    <row r="63" spans="1:6">
      <c r="A63" s="1282" t="s">
        <v>48</v>
      </c>
      <c r="B63" s="1282" t="s">
        <v>28</v>
      </c>
      <c r="C63" s="1283">
        <v>76</v>
      </c>
      <c r="D63" s="1283">
        <v>3802957.9810353899</v>
      </c>
      <c r="E63" s="1283">
        <v>122</v>
      </c>
      <c r="F63" s="1283">
        <v>2834194.0021596001</v>
      </c>
    </row>
    <row r="64" spans="1:6">
      <c r="A64" s="1282" t="s">
        <v>55</v>
      </c>
      <c r="B64" s="1282" t="s">
        <v>56</v>
      </c>
      <c r="C64" s="1283">
        <v>0</v>
      </c>
      <c r="D64" s="1283">
        <v>0</v>
      </c>
      <c r="E64" s="1283">
        <v>0</v>
      </c>
      <c r="F64" s="1283">
        <v>0</v>
      </c>
    </row>
    <row r="65" spans="1:6">
      <c r="A65" s="1282" t="s">
        <v>55</v>
      </c>
      <c r="B65" s="1282" t="s">
        <v>28</v>
      </c>
      <c r="C65" s="1283">
        <v>2</v>
      </c>
      <c r="D65" s="1283">
        <v>30511.395156562801</v>
      </c>
      <c r="E65" s="1283">
        <v>2</v>
      </c>
      <c r="F65" s="1283">
        <v>11243</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58681.302276328803</v>
      </c>
      <c r="E68" s="1286">
        <v>12</v>
      </c>
      <c r="F68" s="1286">
        <v>131314.230229259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12548117</v>
      </c>
      <c r="E73" s="447"/>
      <c r="F73" s="326"/>
    </row>
    <row r="74" spans="1:6">
      <c r="A74" s="1282" t="s">
        <v>63</v>
      </c>
      <c r="B74" s="1282" t="s">
        <v>760</v>
      </c>
      <c r="C74" s="1296" t="s">
        <v>761</v>
      </c>
      <c r="D74" s="1297">
        <v>890059.9115253624</v>
      </c>
      <c r="E74" s="447"/>
      <c r="F74" s="326"/>
    </row>
    <row r="75" spans="1:6">
      <c r="A75" s="1282" t="s">
        <v>64</v>
      </c>
      <c r="B75" s="1282" t="s">
        <v>758</v>
      </c>
      <c r="C75" s="1296" t="s">
        <v>762</v>
      </c>
      <c r="D75" s="1297">
        <v>26477119</v>
      </c>
      <c r="E75" s="447"/>
      <c r="F75" s="326"/>
    </row>
    <row r="76" spans="1:6">
      <c r="A76" s="1282" t="s">
        <v>64</v>
      </c>
      <c r="B76" s="1282" t="s">
        <v>760</v>
      </c>
      <c r="C76" s="1296" t="s">
        <v>763</v>
      </c>
      <c r="D76" s="1297">
        <v>682628.9115253624</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183734.17694927513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797.13055644750284</v>
      </c>
      <c r="C91" s="326"/>
      <c r="D91" s="326"/>
      <c r="E91" s="326"/>
      <c r="F91" s="326"/>
    </row>
    <row r="92" spans="1:6">
      <c r="A92" s="1277" t="s">
        <v>68</v>
      </c>
      <c r="B92" s="1278">
        <v>189.04833453813308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570</v>
      </c>
      <c r="C97" s="326"/>
      <c r="D97" s="326"/>
      <c r="E97" s="326"/>
      <c r="F97" s="326"/>
    </row>
    <row r="98" spans="1:6">
      <c r="A98" s="1282" t="s">
        <v>71</v>
      </c>
      <c r="B98" s="1283">
        <v>0</v>
      </c>
      <c r="C98" s="326"/>
      <c r="D98" s="326"/>
      <c r="E98" s="326"/>
      <c r="F98" s="326"/>
    </row>
    <row r="99" spans="1:6">
      <c r="A99" s="1282" t="s">
        <v>72</v>
      </c>
      <c r="B99" s="1283">
        <v>92</v>
      </c>
      <c r="C99" s="326"/>
      <c r="D99" s="326"/>
      <c r="E99" s="326"/>
      <c r="F99" s="326"/>
    </row>
    <row r="100" spans="1:6">
      <c r="A100" s="1282" t="s">
        <v>73</v>
      </c>
      <c r="B100" s="1283">
        <v>401</v>
      </c>
      <c r="C100" s="326"/>
      <c r="D100" s="326"/>
      <c r="E100" s="326"/>
      <c r="F100" s="326"/>
    </row>
    <row r="101" spans="1:6">
      <c r="A101" s="1282" t="s">
        <v>74</v>
      </c>
      <c r="B101" s="1283">
        <v>96</v>
      </c>
      <c r="C101" s="326"/>
      <c r="D101" s="326"/>
      <c r="E101" s="326"/>
      <c r="F101" s="326"/>
    </row>
    <row r="102" spans="1:6">
      <c r="A102" s="1282" t="s">
        <v>75</v>
      </c>
      <c r="B102" s="1283">
        <v>61</v>
      </c>
      <c r="C102" s="326"/>
      <c r="D102" s="326"/>
      <c r="E102" s="326"/>
      <c r="F102" s="326"/>
    </row>
    <row r="103" spans="1:6">
      <c r="A103" s="1282" t="s">
        <v>76</v>
      </c>
      <c r="B103" s="1283">
        <v>146</v>
      </c>
      <c r="C103" s="326"/>
      <c r="D103" s="326"/>
      <c r="E103" s="326"/>
      <c r="F103" s="326"/>
    </row>
    <row r="104" spans="1:6">
      <c r="A104" s="1282" t="s">
        <v>77</v>
      </c>
      <c r="B104" s="1283">
        <v>1746</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31</v>
      </c>
      <c r="C129" s="326"/>
      <c r="D129" s="326"/>
      <c r="E129" s="326"/>
      <c r="F129" s="326"/>
    </row>
    <row r="130" spans="1:6">
      <c r="A130" s="1282" t="s">
        <v>290</v>
      </c>
      <c r="B130" s="1283">
        <v>2</v>
      </c>
      <c r="C130" s="326"/>
      <c r="D130" s="326"/>
      <c r="E130" s="326"/>
      <c r="F130" s="326"/>
    </row>
    <row r="131" spans="1:6">
      <c r="A131" s="1282" t="s">
        <v>291</v>
      </c>
      <c r="B131" s="1283">
        <v>1</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28819.732082008286</v>
      </c>
      <c r="C3" s="43" t="s">
        <v>169</v>
      </c>
      <c r="D3" s="43"/>
      <c r="E3" s="156"/>
      <c r="F3" s="43"/>
      <c r="G3" s="43"/>
      <c r="H3" s="43"/>
      <c r="I3" s="43"/>
      <c r="J3" s="43"/>
      <c r="K3" s="96"/>
    </row>
    <row r="4" spans="1:11">
      <c r="A4" s="354" t="s">
        <v>170</v>
      </c>
      <c r="B4" s="49">
        <f>IF(ISERROR('SEAP template'!B78+'SEAP template'!C78),0,'SEAP template'!B78+'SEAP template'!C78)</f>
        <v>18527.178890985637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7.8926974364069022E-2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25058.571428571428</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653.81399999999996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653.81399999999996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7.8926974364069022E-2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51.603560816869418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16189.407080529301</v>
      </c>
      <c r="C5" s="17">
        <f>IF(ISERROR('Eigen informatie GS &amp; warmtenet'!B57),0,'Eigen informatie GS &amp; warmtenet'!B57)</f>
        <v>0</v>
      </c>
      <c r="D5" s="30">
        <f>(SUM(HH_hh_gas_kWh,HH_rest_gas_kWh)/1000)*0.902</f>
        <v>18171.595734405208</v>
      </c>
      <c r="E5" s="17">
        <f>B32*B41</f>
        <v>1056.038470258251</v>
      </c>
      <c r="F5" s="17">
        <f>B36*B45</f>
        <v>36047.234956421766</v>
      </c>
      <c r="G5" s="18"/>
      <c r="H5" s="17"/>
      <c r="I5" s="17"/>
      <c r="J5" s="17">
        <f>B35*B44+C35*C44</f>
        <v>811.69234112585116</v>
      </c>
      <c r="K5" s="17"/>
      <c r="L5" s="17"/>
      <c r="M5" s="17"/>
      <c r="N5" s="17">
        <f>B34*B43+C34*C43</f>
        <v>4300.8196807793884</v>
      </c>
      <c r="O5" s="17">
        <f>B52*B53*B54</f>
        <v>51.589999999999996</v>
      </c>
      <c r="P5" s="17">
        <f>B60*B61*B62/1000-B60*B61*B62/1000/B63</f>
        <v>95.333333333333343</v>
      </c>
    </row>
    <row r="6" spans="1:16">
      <c r="A6" s="16" t="s">
        <v>621</v>
      </c>
      <c r="B6" s="768">
        <f>kWh_PV_kleiner_dan_10kW</f>
        <v>797.13055644750284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16986.537636976806</v>
      </c>
      <c r="C8" s="21">
        <f>C5</f>
        <v>0</v>
      </c>
      <c r="D8" s="21">
        <f>D5</f>
        <v>18171.595734405208</v>
      </c>
      <c r="E8" s="21">
        <f>E5</f>
        <v>1056.038470258251</v>
      </c>
      <c r="F8" s="21">
        <f>F5</f>
        <v>36047.234956421766</v>
      </c>
      <c r="G8" s="21"/>
      <c r="H8" s="21"/>
      <c r="I8" s="21"/>
      <c r="J8" s="21">
        <f>J5</f>
        <v>811.69234112585116</v>
      </c>
      <c r="K8" s="21"/>
      <c r="L8" s="21">
        <f>L5</f>
        <v>0</v>
      </c>
      <c r="M8" s="21">
        <f>M5</f>
        <v>0</v>
      </c>
      <c r="N8" s="21">
        <f>N5</f>
        <v>4300.8196807793884</v>
      </c>
      <c r="O8" s="21">
        <f>O5</f>
        <v>51.589999999999996</v>
      </c>
      <c r="P8" s="21">
        <f>P5</f>
        <v>95.333333333333343</v>
      </c>
    </row>
    <row r="9" spans="1:16">
      <c r="B9" s="19"/>
      <c r="C9" s="19"/>
      <c r="D9" s="256"/>
      <c r="E9" s="19"/>
      <c r="F9" s="19"/>
      <c r="G9" s="19"/>
      <c r="H9" s="19"/>
      <c r="I9" s="19"/>
      <c r="J9" s="19"/>
      <c r="K9" s="19"/>
      <c r="L9" s="19"/>
      <c r="M9" s="19"/>
      <c r="N9" s="19"/>
      <c r="O9" s="19"/>
      <c r="P9" s="19"/>
    </row>
    <row r="10" spans="1:16">
      <c r="A10" s="24" t="s">
        <v>213</v>
      </c>
      <c r="B10" s="25">
        <f ca="1">'EF ele_warmte'!B12</f>
        <v>7.8926974364069022E-2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1340.6960206079618</v>
      </c>
      <c r="C12" s="23">
        <f ca="1">C10*C8</f>
        <v>0</v>
      </c>
      <c r="D12" s="23">
        <f>D8*D10</f>
        <v>3670.6623383498522</v>
      </c>
      <c r="E12" s="23">
        <f>E10*E8</f>
        <v>239.72073274862299</v>
      </c>
      <c r="F12" s="23">
        <f>F10*F8</f>
        <v>9624.6117333646125</v>
      </c>
      <c r="G12" s="23"/>
      <c r="H12" s="23"/>
      <c r="I12" s="23"/>
      <c r="J12" s="23">
        <f>J10*J8</f>
        <v>287.33908875855127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3330</v>
      </c>
      <c r="C26" s="36"/>
      <c r="D26" s="226"/>
    </row>
    <row r="27" spans="1:5" s="15" customFormat="1">
      <c r="A27" s="228" t="s">
        <v>701</v>
      </c>
      <c r="B27" s="37">
        <f>SUM(HH_hh_gas_aantal,HH_rest_gas_aantal)</f>
        <v>1197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1137.1500000000001</v>
      </c>
      <c r="C31" s="34" t="s">
        <v>110</v>
      </c>
      <c r="D31" s="172"/>
    </row>
    <row r="32" spans="1:5">
      <c r="A32" s="169" t="s">
        <v>72</v>
      </c>
      <c r="B32" s="33">
        <f>IF((B21*($B$26-($B$27-0.05*$B$27)-$B$60))&lt;0,0,B21*($B$26-($B$27-0.05*$B$27)-$B$60))</f>
        <v>15.510912773785789</v>
      </c>
      <c r="C32" s="34" t="s">
        <v>110</v>
      </c>
      <c r="D32" s="172"/>
    </row>
    <row r="33" spans="1:6">
      <c r="A33" s="169" t="s">
        <v>73</v>
      </c>
      <c r="B33" s="33">
        <f>IF((B22*($B$26-($B$27-0.05*$B$27)-$B$60))&lt;0,0,B22*($B$26-($B$27-0.05*$B$27)-$B$60))</f>
        <v>444.54064976843227</v>
      </c>
      <c r="C33" s="34" t="s">
        <v>110</v>
      </c>
      <c r="D33" s="172"/>
    </row>
    <row r="34" spans="1:6">
      <c r="A34" s="169" t="s">
        <v>74</v>
      </c>
      <c r="B34" s="33">
        <f>IF((B24*($B$26-($B$27-0.05*$B$27)-$B$60))&lt;0,0,B24*($B$26-($B$27-0.05*$B$27)-$B$60))</f>
        <v>88.646103611266867</v>
      </c>
      <c r="C34" s="33">
        <f>B26*C24</f>
        <v>680.91045705089743</v>
      </c>
      <c r="D34" s="231"/>
    </row>
    <row r="35" spans="1:6">
      <c r="A35" s="169" t="s">
        <v>76</v>
      </c>
      <c r="B35" s="33">
        <f>IF((B19*($B$26-($B$27-0.05*$B$27)-$B$60))&lt;0,0,B19*($B$26-($B$27-0.05*$B$27)-$B$60))</f>
        <v>46.163430874362476</v>
      </c>
      <c r="C35" s="33">
        <f>B35/2</f>
        <v>23.081715437181238</v>
      </c>
      <c r="D35" s="231"/>
    </row>
    <row r="36" spans="1:6">
      <c r="A36" s="169" t="s">
        <v>77</v>
      </c>
      <c r="B36" s="33">
        <f>IF((B18*($B$26-($B$27-0.05*$B$27)-$B$60))&lt;0,0,B18*($B$26-($B$27-0.05*$B$27)-$B$60))</f>
        <v>1592.9889029721526</v>
      </c>
      <c r="C36" s="34" t="s">
        <v>110</v>
      </c>
      <c r="D36" s="172"/>
    </row>
    <row r="37" spans="1:6">
      <c r="A37" s="169" t="s">
        <v>78</v>
      </c>
      <c r="B37" s="33">
        <f>B60</f>
        <v>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6766.5282643975897</v>
      </c>
      <c r="C5" s="17">
        <f>IF(ISERROR('Eigen informatie GS &amp; warmtenet'!B58),0,'Eigen informatie GS &amp; warmtenet'!B58)</f>
        <v>0</v>
      </c>
      <c r="D5" s="30">
        <f>SUM(D6:D12)</f>
        <v>6590.6773087053625</v>
      </c>
      <c r="E5" s="17">
        <f>SUM(E6:E12)</f>
        <v>142.95012763350633</v>
      </c>
      <c r="F5" s="17">
        <f>SUM(F6:F12)</f>
        <v>1274.6742022796871</v>
      </c>
      <c r="G5" s="18"/>
      <c r="H5" s="17"/>
      <c r="I5" s="17"/>
      <c r="J5" s="17">
        <f>SUM(J6:J12)</f>
        <v>0</v>
      </c>
      <c r="K5" s="17"/>
      <c r="L5" s="17"/>
      <c r="M5" s="17"/>
      <c r="N5" s="17">
        <f>SUM(N6:N12)</f>
        <v>287.01939145122151</v>
      </c>
      <c r="O5" s="17">
        <f>B38*B39*B40</f>
        <v>3.1266666666666669</v>
      </c>
      <c r="P5" s="17">
        <f>B46*B47*B48/1000-B46*B47*B48/1000/B49</f>
        <v>19.066666666666666</v>
      </c>
      <c r="R5" s="32"/>
    </row>
    <row r="6" spans="1:18">
      <c r="A6" s="32" t="s">
        <v>53</v>
      </c>
      <c r="B6" s="37">
        <f>B26</f>
        <v>1262.2419385289602</v>
      </c>
      <c r="C6" s="33"/>
      <c r="D6" s="37">
        <f>IF(ISERROR(TER_kantoor_gas_kWh/1000),0,TER_kantoor_gas_kWh/1000)*0.902</f>
        <v>1163.802068968341</v>
      </c>
      <c r="E6" s="33">
        <f>$C$26*'E Balans VL '!I12/100/3.6*1000000</f>
        <v>44.183433188492174</v>
      </c>
      <c r="F6" s="33">
        <f>$C$26*('E Balans VL '!L12+'E Balans VL '!N12)/100/3.6*1000000</f>
        <v>191.38297794985431</v>
      </c>
      <c r="G6" s="34"/>
      <c r="H6" s="33"/>
      <c r="I6" s="33"/>
      <c r="J6" s="33">
        <f>$C$26*('E Balans VL '!D12+'E Balans VL '!E12)/100/3.6*1000000</f>
        <v>0</v>
      </c>
      <c r="K6" s="33"/>
      <c r="L6" s="33"/>
      <c r="M6" s="33"/>
      <c r="N6" s="33">
        <f>$C$26*'E Balans VL '!Y12/100/3.6*1000000</f>
        <v>9.7567351139749441</v>
      </c>
      <c r="O6" s="33"/>
      <c r="P6" s="33"/>
      <c r="R6" s="32"/>
    </row>
    <row r="7" spans="1:18">
      <c r="A7" s="32" t="s">
        <v>52</v>
      </c>
      <c r="B7" s="37">
        <f t="shared" ref="B7:B12" si="0">B27</f>
        <v>466.40304348346302</v>
      </c>
      <c r="C7" s="33"/>
      <c r="D7" s="37">
        <f>IF(ISERROR(TER_horeca_gas_kWh/1000),0,TER_horeca_gas_kWh/1000)*0.902</f>
        <v>366.60328013998918</v>
      </c>
      <c r="E7" s="33">
        <f>$C$27*'E Balans VL '!I9/100/3.6*1000000</f>
        <v>26.311333302587926</v>
      </c>
      <c r="F7" s="33">
        <f>$C$27*('E Balans VL '!L9+'E Balans VL '!N9)/100/3.6*1000000</f>
        <v>81.249991282401751</v>
      </c>
      <c r="G7" s="34"/>
      <c r="H7" s="33"/>
      <c r="I7" s="33"/>
      <c r="J7" s="33">
        <f>$C$27*('E Balans VL '!D9+'E Balans VL '!E9)/100/3.6*1000000</f>
        <v>0</v>
      </c>
      <c r="K7" s="33"/>
      <c r="L7" s="33"/>
      <c r="M7" s="33"/>
      <c r="N7" s="33">
        <f>$C$27*'E Balans VL '!Y9/100/3.6*1000000</f>
        <v>0</v>
      </c>
      <c r="O7" s="33"/>
      <c r="P7" s="33"/>
      <c r="R7" s="32"/>
    </row>
    <row r="8" spans="1:18">
      <c r="A8" s="6" t="s">
        <v>51</v>
      </c>
      <c r="B8" s="37">
        <f t="shared" si="0"/>
        <v>1258.3885104052599</v>
      </c>
      <c r="C8" s="33"/>
      <c r="D8" s="37">
        <f>IF(ISERROR(TER_handel_gas_kWh/1000),0,TER_handel_gas_kWh/1000)*0.902</f>
        <v>340.64559249260293</v>
      </c>
      <c r="E8" s="33">
        <f>$C$28*'E Balans VL '!I13/100/3.6*1000000</f>
        <v>6.4604387620022106</v>
      </c>
      <c r="F8" s="33">
        <f>$C$28*('E Balans VL '!L13+'E Balans VL '!N13)/100/3.6*1000000</f>
        <v>194.02406420598152</v>
      </c>
      <c r="G8" s="34"/>
      <c r="H8" s="33"/>
      <c r="I8" s="33"/>
      <c r="J8" s="33">
        <f>$C$28*('E Balans VL '!D13+'E Balans VL '!E13)/100/3.6*1000000</f>
        <v>0</v>
      </c>
      <c r="K8" s="33"/>
      <c r="L8" s="33"/>
      <c r="M8" s="33"/>
      <c r="N8" s="33">
        <f>$C$28*'E Balans VL '!Y13/100/3.6*1000000</f>
        <v>0.58856366701591756</v>
      </c>
      <c r="O8" s="33"/>
      <c r="P8" s="33"/>
      <c r="R8" s="32"/>
    </row>
    <row r="9" spans="1:18">
      <c r="A9" s="32" t="s">
        <v>50</v>
      </c>
      <c r="B9" s="37">
        <f t="shared" si="0"/>
        <v>97.291603519402898</v>
      </c>
      <c r="C9" s="33"/>
      <c r="D9" s="37">
        <f>IF(ISERROR(TER_gezond_gas_kWh/1000),0,TER_gezond_gas_kWh/1000)*0.902</f>
        <v>0</v>
      </c>
      <c r="E9" s="33">
        <f>$C$29*'E Balans VL '!I10/100/3.6*1000000</f>
        <v>4.0326676772825122E-2</v>
      </c>
      <c r="F9" s="33">
        <f>$C$29*('E Balans VL '!L10+'E Balans VL '!N10)/100/3.6*1000000</f>
        <v>23.961526599105511</v>
      </c>
      <c r="G9" s="34"/>
      <c r="H9" s="33"/>
      <c r="I9" s="33"/>
      <c r="J9" s="33">
        <f>$C$29*('E Balans VL '!D10+'E Balans VL '!E10)/100/3.6*1000000</f>
        <v>0</v>
      </c>
      <c r="K9" s="33"/>
      <c r="L9" s="33"/>
      <c r="M9" s="33"/>
      <c r="N9" s="33">
        <f>$C$29*'E Balans VL '!Y10/100/3.6*1000000</f>
        <v>0.84084026329926742</v>
      </c>
      <c r="O9" s="33"/>
      <c r="P9" s="33"/>
      <c r="R9" s="32"/>
    </row>
    <row r="10" spans="1:18">
      <c r="A10" s="32" t="s">
        <v>49</v>
      </c>
      <c r="B10" s="37">
        <f t="shared" si="0"/>
        <v>848.00916630090398</v>
      </c>
      <c r="C10" s="33"/>
      <c r="D10" s="37">
        <f>IF(ISERROR(TER_ander_gas_kWh/1000),0,TER_ander_gas_kWh/1000)*0.902</f>
        <v>1289.358268210508</v>
      </c>
      <c r="E10" s="33">
        <f>$C$30*'E Balans VL '!I14/100/3.6*1000000</f>
        <v>5.1694848004439082</v>
      </c>
      <c r="F10" s="33">
        <f>$C$30*('E Balans VL '!L14+'E Balans VL '!N14)/100/3.6*1000000</f>
        <v>224.8188463942416</v>
      </c>
      <c r="G10" s="34"/>
      <c r="H10" s="33"/>
      <c r="I10" s="33"/>
      <c r="J10" s="33">
        <f>$C$30*('E Balans VL '!D14+'E Balans VL '!E14)/100/3.6*1000000</f>
        <v>0</v>
      </c>
      <c r="K10" s="33"/>
      <c r="L10" s="33"/>
      <c r="M10" s="33"/>
      <c r="N10" s="33">
        <f>$C$30*'E Balans VL '!Y14/100/3.6*1000000</f>
        <v>195.44778870300783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2834.1940021596001</v>
      </c>
      <c r="C12" s="33"/>
      <c r="D12" s="37">
        <f>IF(ISERROR(TER_rest_gas_kWh/1000),0,TER_rest_gas_kWh/1000)*0.902</f>
        <v>3430.2680988939219</v>
      </c>
      <c r="E12" s="33">
        <f>$C$32*'E Balans VL '!I8/100/3.6*1000000</f>
        <v>60.78511090320729</v>
      </c>
      <c r="F12" s="33">
        <f>$C$32*('E Balans VL '!L8+'E Balans VL '!N8)/100/3.6*1000000</f>
        <v>559.23679584810225</v>
      </c>
      <c r="G12" s="34"/>
      <c r="H12" s="33"/>
      <c r="I12" s="33"/>
      <c r="J12" s="33">
        <f>$C$32*('E Balans VL '!D8+'E Balans VL '!E8)/100/3.6*1000000</f>
        <v>0</v>
      </c>
      <c r="K12" s="33"/>
      <c r="L12" s="33"/>
      <c r="M12" s="33"/>
      <c r="N12" s="33">
        <f>$C$32*'E Balans VL '!Y8/100/3.6*1000000</f>
        <v>80.385463703923534</v>
      </c>
      <c r="O12" s="33"/>
      <c r="P12" s="33"/>
      <c r="R12" s="32"/>
    </row>
    <row r="13" spans="1:18">
      <c r="A13" s="16" t="s">
        <v>489</v>
      </c>
      <c r="B13" s="244">
        <f ca="1">'lokale energieproductie'!N39+'lokale energieproductie'!N32</f>
        <v>0</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6766.5282643975897</v>
      </c>
      <c r="C16" s="21">
        <f ca="1">C5+C13+C14</f>
        <v>0</v>
      </c>
      <c r="D16" s="21">
        <f t="shared" ref="D16:N16" ca="1" si="1">MAX((D5+D13+D14),0)</f>
        <v>6590.6773087053625</v>
      </c>
      <c r="E16" s="21">
        <f t="shared" si="1"/>
        <v>142.95012763350633</v>
      </c>
      <c r="F16" s="21">
        <f t="shared" ca="1" si="1"/>
        <v>1274.6742022796871</v>
      </c>
      <c r="G16" s="21">
        <f t="shared" si="1"/>
        <v>0</v>
      </c>
      <c r="H16" s="21">
        <f t="shared" si="1"/>
        <v>0</v>
      </c>
      <c r="I16" s="21">
        <f t="shared" si="1"/>
        <v>0</v>
      </c>
      <c r="J16" s="21">
        <f t="shared" si="1"/>
        <v>0</v>
      </c>
      <c r="K16" s="21">
        <f t="shared" si="1"/>
        <v>0</v>
      </c>
      <c r="L16" s="21">
        <f t="shared" ca="1" si="1"/>
        <v>0</v>
      </c>
      <c r="M16" s="21">
        <f t="shared" si="1"/>
        <v>0</v>
      </c>
      <c r="N16" s="21">
        <f t="shared" ca="1" si="1"/>
        <v>287.01939145122151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7.8926974364069022E-2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534.061602857857</v>
      </c>
      <c r="C20" s="23">
        <f t="shared" ref="C20:P20" ca="1" si="2">C16*C18</f>
        <v>0</v>
      </c>
      <c r="D20" s="23">
        <f t="shared" ca="1" si="2"/>
        <v>1331.3168163584833</v>
      </c>
      <c r="E20" s="23">
        <f t="shared" si="2"/>
        <v>32.449678972805934</v>
      </c>
      <c r="F20" s="23">
        <f t="shared" ca="1" si="2"/>
        <v>340.33801200867646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1262.2419385289602</v>
      </c>
      <c r="C26" s="39">
        <f>IF(ISERROR(B26*3.6/1000000/'E Balans VL '!Z12*100),0,B26*3.6/1000000/'E Balans VL '!Z12*100)</f>
        <v>2.6561788325652463E-2</v>
      </c>
      <c r="D26" s="234" t="s">
        <v>706</v>
      </c>
      <c r="F26" s="6"/>
    </row>
    <row r="27" spans="1:18">
      <c r="A27" s="229" t="s">
        <v>52</v>
      </c>
      <c r="B27" s="33">
        <f>IF(ISERROR(TER_horeca_ele_kWh/1000),0,TER_horeca_ele_kWh/1000)</f>
        <v>466.40304348346302</v>
      </c>
      <c r="C27" s="39">
        <f>IF(ISERROR(B27*3.6/1000000/'E Balans VL '!Z9*100),0,B27*3.6/1000000/'E Balans VL '!Z9*100)</f>
        <v>3.9489035111329424E-2</v>
      </c>
      <c r="D27" s="234" t="s">
        <v>706</v>
      </c>
      <c r="F27" s="6"/>
    </row>
    <row r="28" spans="1:18">
      <c r="A28" s="169" t="s">
        <v>51</v>
      </c>
      <c r="B28" s="33">
        <f>IF(ISERROR(TER_handel_ele_kWh/1000),0,TER_handel_ele_kWh/1000)</f>
        <v>1258.3885104052599</v>
      </c>
      <c r="C28" s="39">
        <f>IF(ISERROR(B28*3.6/1000000/'E Balans VL '!Z13*100),0,B28*3.6/1000000/'E Balans VL '!Z13*100)</f>
        <v>3.4838311901807278E-2</v>
      </c>
      <c r="D28" s="234" t="s">
        <v>706</v>
      </c>
      <c r="F28" s="6"/>
    </row>
    <row r="29" spans="1:18">
      <c r="A29" s="229" t="s">
        <v>50</v>
      </c>
      <c r="B29" s="33">
        <f>IF(ISERROR(TER_gezond_ele_kWh/1000),0,TER_gezond_ele_kWh/1000)</f>
        <v>97.291603519402898</v>
      </c>
      <c r="C29" s="39">
        <f>IF(ISERROR(B29*3.6/1000000/'E Balans VL '!Z10*100),0,B29*3.6/1000000/'E Balans VL '!Z10*100)</f>
        <v>1.2646829854343322E-2</v>
      </c>
      <c r="D29" s="234" t="s">
        <v>706</v>
      </c>
      <c r="F29" s="6"/>
    </row>
    <row r="30" spans="1:18">
      <c r="A30" s="229" t="s">
        <v>49</v>
      </c>
      <c r="B30" s="33">
        <f>IF(ISERROR(TER_ander_ele_kWh/1000),0,TER_ander_ele_kWh/1000)</f>
        <v>848.00916630090398</v>
      </c>
      <c r="C30" s="39">
        <f>IF(ISERROR(B30*3.6/1000000/'E Balans VL '!Z14*100),0,B30*3.6/1000000/'E Balans VL '!Z14*100)</f>
        <v>6.5728487226455634E-2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2834.1940021596001</v>
      </c>
      <c r="C32" s="39">
        <f>IF(ISERROR(B32*3.6/1000000/'E Balans VL '!Z8*100),0,B32*3.6/1000000/'E Balans VL '!Z8*100)</f>
        <v>2.3370105969489414E-2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1369.6385217632615</v>
      </c>
      <c r="C5" s="17">
        <f>IF(ISERROR('Eigen informatie GS &amp; warmtenet'!B59),0,'Eigen informatie GS &amp; warmtenet'!B59)</f>
        <v>0</v>
      </c>
      <c r="D5" s="30">
        <f>SUM(D6:D15)</f>
        <v>947.07721671831064</v>
      </c>
      <c r="E5" s="17">
        <f>SUM(E6:E15)</f>
        <v>18.405479928405683</v>
      </c>
      <c r="F5" s="17">
        <f>SUM(F6:F15)</f>
        <v>677.34317648025228</v>
      </c>
      <c r="G5" s="18"/>
      <c r="H5" s="17"/>
      <c r="I5" s="17"/>
      <c r="J5" s="17">
        <f>SUM(J6:J15)</f>
        <v>4.6986605640188408</v>
      </c>
      <c r="K5" s="17"/>
      <c r="L5" s="17"/>
      <c r="M5" s="17"/>
      <c r="N5" s="17">
        <f>SUM(N6:N15)</f>
        <v>62.755171840441307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62.723895869132001</v>
      </c>
      <c r="C8" s="33"/>
      <c r="D8" s="37">
        <f>IF( ISERROR(IND_metaal_Gas_kWH/1000),0,IND_metaal_Gas_kWH/1000)*0.902</f>
        <v>0</v>
      </c>
      <c r="E8" s="33">
        <f>C30*'E Balans VL '!I18/100/3.6*1000000</f>
        <v>0.44074697687252584</v>
      </c>
      <c r="F8" s="33">
        <f>C30*'E Balans VL '!L18/100/3.6*1000000+C30*'E Balans VL '!N18/100/3.6*1000000</f>
        <v>6.8867167955194493</v>
      </c>
      <c r="G8" s="34"/>
      <c r="H8" s="33"/>
      <c r="I8" s="33"/>
      <c r="J8" s="40">
        <f>C30*'E Balans VL '!D18/100/3.6*1000000+C30*'E Balans VL '!E18/100/3.6*1000000</f>
        <v>1.2941291663492831</v>
      </c>
      <c r="K8" s="33"/>
      <c r="L8" s="33"/>
      <c r="M8" s="33"/>
      <c r="N8" s="33">
        <f>C30*'E Balans VL '!Y18/100/3.6*1000000</f>
        <v>0.23509367908764187</v>
      </c>
      <c r="O8" s="33"/>
      <c r="P8" s="33"/>
      <c r="R8" s="32"/>
    </row>
    <row r="9" spans="1:18">
      <c r="A9" s="6" t="s">
        <v>32</v>
      </c>
      <c r="B9" s="37">
        <f t="shared" si="0"/>
        <v>714.44007829822999</v>
      </c>
      <c r="C9" s="33"/>
      <c r="D9" s="37">
        <f>IF( ISERROR(IND_andere_gas_kWh/1000),0,IND_andere_gas_kWh/1000)*0.902</f>
        <v>329.39554471764552</v>
      </c>
      <c r="E9" s="33">
        <f>C31*'E Balans VL '!I19/100/3.6*1000000</f>
        <v>11.999896332058812</v>
      </c>
      <c r="F9" s="33">
        <f>C31*'E Balans VL '!L19/100/3.6*1000000+C31*'E Balans VL '!N19/100/3.6*1000000</f>
        <v>558.50856174502962</v>
      </c>
      <c r="G9" s="34"/>
      <c r="H9" s="33"/>
      <c r="I9" s="33"/>
      <c r="J9" s="40">
        <f>C31*'E Balans VL '!D19/100/3.6*1000000+C31*'E Balans VL '!E19/100/3.6*1000000</f>
        <v>6.4436188424931429E-2</v>
      </c>
      <c r="K9" s="33"/>
      <c r="L9" s="33"/>
      <c r="M9" s="33"/>
      <c r="N9" s="33">
        <f>C31*'E Balans VL '!Y19/100/3.6*1000000</f>
        <v>52.951471983855967</v>
      </c>
      <c r="O9" s="33"/>
      <c r="P9" s="33"/>
      <c r="R9" s="32"/>
    </row>
    <row r="10" spans="1:18">
      <c r="A10" s="6" t="s">
        <v>40</v>
      </c>
      <c r="B10" s="37">
        <f t="shared" si="0"/>
        <v>177.196578735298</v>
      </c>
      <c r="C10" s="33"/>
      <c r="D10" s="37">
        <f>IF( ISERROR(IND_voed_gas_kWh/1000),0,IND_voed_gas_kWh/1000)*0.902</f>
        <v>135.48980117793076</v>
      </c>
      <c r="E10" s="33">
        <f>C32*'E Balans VL '!I20/100/3.6*1000000</f>
        <v>1.6166679503461061</v>
      </c>
      <c r="F10" s="33">
        <f>C32*'E Balans VL '!L20/100/3.6*1000000+C32*'E Balans VL '!N20/100/3.6*1000000</f>
        <v>28.587350534634773</v>
      </c>
      <c r="G10" s="34"/>
      <c r="H10" s="33"/>
      <c r="I10" s="33"/>
      <c r="J10" s="40">
        <f>C32*'E Balans VL '!D20/100/3.6*1000000+C32*'E Balans VL '!E20/100/3.6*1000000</f>
        <v>0.72981168693247023</v>
      </c>
      <c r="K10" s="33"/>
      <c r="L10" s="33"/>
      <c r="M10" s="33"/>
      <c r="N10" s="33">
        <f>C32*'E Balans VL '!Y20/100/3.6*1000000</f>
        <v>2.5922462234735901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27.613186757550402</v>
      </c>
      <c r="C13" s="33"/>
      <c r="D13" s="37">
        <f>IF( ISERROR(IND_papier_gas_kWh/1000),0,IND_papier_gas_kWh/1000)*0.902</f>
        <v>0</v>
      </c>
      <c r="E13" s="33">
        <f>C35*'E Balans VL '!I23/100/3.6*1000000</f>
        <v>0.84958569253058891</v>
      </c>
      <c r="F13" s="33">
        <f>C35*'E Balans VL '!L23/100/3.6*1000000+C35*'E Balans VL '!N23/100/3.6*1000000</f>
        <v>5.8632445724892133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387.66478210305104</v>
      </c>
      <c r="C15" s="33"/>
      <c r="D15" s="37">
        <f>IF( ISERROR(IND_rest_gas_kWh/1000),0,IND_rest_gas_kWh/1000)*0.902</f>
        <v>482.19187082273442</v>
      </c>
      <c r="E15" s="33">
        <f>C37*'E Balans VL '!I15/100/3.6*1000000</f>
        <v>3.4985829765976515</v>
      </c>
      <c r="F15" s="33">
        <f>C37*'E Balans VL '!L15/100/3.6*1000000+C37*'E Balans VL '!N15/100/3.6*1000000</f>
        <v>77.497302832579265</v>
      </c>
      <c r="G15" s="34"/>
      <c r="H15" s="33"/>
      <c r="I15" s="33"/>
      <c r="J15" s="40">
        <f>C37*'E Balans VL '!D15/100/3.6*1000000+C37*'E Balans VL '!E15/100/3.6*1000000</f>
        <v>2.6102835223121557</v>
      </c>
      <c r="K15" s="33"/>
      <c r="L15" s="33"/>
      <c r="M15" s="33"/>
      <c r="N15" s="33">
        <f>C37*'E Balans VL '!Y15/100/3.6*1000000</f>
        <v>6.9763599540241126</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1369.6385217632615</v>
      </c>
      <c r="C18" s="21">
        <f>C5+C16</f>
        <v>0</v>
      </c>
      <c r="D18" s="21">
        <f>MAX((D5+D16),0)</f>
        <v>947.07721671831064</v>
      </c>
      <c r="E18" s="21">
        <f>MAX((E5+E16),0)</f>
        <v>18.405479928405683</v>
      </c>
      <c r="F18" s="21">
        <f>MAX((F5+F16),0)</f>
        <v>677.34317648025228</v>
      </c>
      <c r="G18" s="21"/>
      <c r="H18" s="21"/>
      <c r="I18" s="21"/>
      <c r="J18" s="21">
        <f>MAX((J5+J16),0)</f>
        <v>4.6986605640188408</v>
      </c>
      <c r="K18" s="21"/>
      <c r="L18" s="21">
        <f>MAX((L5+L16),0)</f>
        <v>0</v>
      </c>
      <c r="M18" s="21"/>
      <c r="N18" s="21">
        <f>MAX((N5+N16),0)</f>
        <v>62.755171840441307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7.8926974364069022E-2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108.10142449525033</v>
      </c>
      <c r="C22" s="23">
        <f ca="1">C18*C20</f>
        <v>0</v>
      </c>
      <c r="D22" s="23">
        <f>D18*D20</f>
        <v>191.30959777709876</v>
      </c>
      <c r="E22" s="23">
        <f>E18*E20</f>
        <v>4.1780439437480901</v>
      </c>
      <c r="F22" s="23">
        <f>F18*F20</f>
        <v>180.85062812022736</v>
      </c>
      <c r="G22" s="23"/>
      <c r="H22" s="23"/>
      <c r="I22" s="23"/>
      <c r="J22" s="23">
        <f>J18*J20</f>
        <v>1.6633258396626696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62.723895869132001</v>
      </c>
      <c r="C30" s="39">
        <f>IF(ISERROR(B30*3.6/1000000/'E Balans VL '!Z18*100),0,B30*3.6/1000000/'E Balans VL '!Z18*100)</f>
        <v>4.1755680504286102E-3</v>
      </c>
      <c r="D30" s="234" t="s">
        <v>706</v>
      </c>
    </row>
    <row r="31" spans="1:18">
      <c r="A31" s="6" t="s">
        <v>32</v>
      </c>
      <c r="B31" s="37">
        <f>IF( ISERROR(IND_ander_ele_kWh/1000),0,IND_ander_ele_kWh/1000)</f>
        <v>714.44007829822999</v>
      </c>
      <c r="C31" s="39">
        <f>IF(ISERROR(B31*3.6/1000000/'E Balans VL '!Z19*100),0,B31*3.6/1000000/'E Balans VL '!Z19*100)</f>
        <v>3.1668297382901452E-2</v>
      </c>
      <c r="D31" s="234" t="s">
        <v>706</v>
      </c>
    </row>
    <row r="32" spans="1:18">
      <c r="A32" s="169" t="s">
        <v>40</v>
      </c>
      <c r="B32" s="37">
        <f>IF( ISERROR(IND_voed_ele_kWh/1000),0,IND_voed_ele_kWh/1000)</f>
        <v>177.196578735298</v>
      </c>
      <c r="C32" s="39">
        <f>IF(ISERROR(B32*3.6/1000000/'E Balans VL '!Z20*100),0,B32*3.6/1000000/'E Balans VL '!Z20*100)</f>
        <v>5.9188740409550199E-3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27.613186757550402</v>
      </c>
      <c r="C35" s="39">
        <f>IF(ISERROR(B35*3.6/1000000/'E Balans VL '!Z22*100),0,B35*3.6/1000000/'E Balans VL '!Z22*100)</f>
        <v>5.3704615107284101E-3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387.66478210305104</v>
      </c>
      <c r="C37" s="39">
        <f>IF(ISERROR(B37*3.6/1000000/'E Balans VL '!Z15*100),0,B37*3.6/1000000/'E Balans VL '!Z15*100)</f>
        <v>2.883594418893493E-3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1867.697197076307</v>
      </c>
      <c r="C5" s="17">
        <f>'Eigen informatie GS &amp; warmtenet'!B60</f>
        <v>0</v>
      </c>
      <c r="D5" s="30">
        <f>IF(ISERROR(SUM(LB_lb_gas_kWh,LB_rest_gas_kWh)/1000),0,SUM(LB_lb_gas_kWh,LB_rest_gas_kWh)/1000)*0.902</f>
        <v>69.58298178004307</v>
      </c>
      <c r="E5" s="17">
        <f>B17*'E Balans VL '!I25/3.6*1000000/100</f>
        <v>19.558929387737365</v>
      </c>
      <c r="F5" s="17">
        <f>B17*('E Balans VL '!L25/3.6*1000000+'E Balans VL '!N25/3.6*1000000)/100</f>
        <v>7995.1631519586072</v>
      </c>
      <c r="G5" s="18"/>
      <c r="H5" s="17"/>
      <c r="I5" s="17"/>
      <c r="J5" s="17">
        <f>('E Balans VL '!D25+'E Balans VL '!E25)/3.6*1000000*landbouw!B17/100</f>
        <v>166.8021001544781</v>
      </c>
      <c r="K5" s="17"/>
      <c r="L5" s="17">
        <f>L6*(-1)</f>
        <v>0</v>
      </c>
      <c r="M5" s="17"/>
      <c r="N5" s="17">
        <f>N6*(-1)</f>
        <v>50117.142857142855</v>
      </c>
      <c r="O5" s="17"/>
      <c r="P5" s="17"/>
      <c r="R5" s="32"/>
    </row>
    <row r="6" spans="1:18">
      <c r="A6" s="16" t="s">
        <v>489</v>
      </c>
      <c r="B6" s="17" t="s">
        <v>210</v>
      </c>
      <c r="C6" s="17">
        <f>'lokale energieproductie'!O40+'lokale energieproductie'!O33</f>
        <v>25058.571428571428</v>
      </c>
      <c r="D6" s="304">
        <f>('lokale energieproductie'!P33+'lokale energieproductie'!P40)*(-1)</f>
        <v>0</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-50117.142857142855</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1867.697197076307</v>
      </c>
      <c r="C8" s="21">
        <f>C5+C6</f>
        <v>25058.571428571428</v>
      </c>
      <c r="D8" s="21">
        <f>MAX((D5+D6),0)</f>
        <v>69.58298178004307</v>
      </c>
      <c r="E8" s="21">
        <f>MAX((E5+E6),0)</f>
        <v>19.558929387737365</v>
      </c>
      <c r="F8" s="21">
        <f>MAX((F5+F6),0)</f>
        <v>7995.1631519586072</v>
      </c>
      <c r="G8" s="21"/>
      <c r="H8" s="21"/>
      <c r="I8" s="21"/>
      <c r="J8" s="21">
        <f>MAX((J5+J6),0)</f>
        <v>166.8021001544781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7.8926974364069022E-2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147.41168879348524</v>
      </c>
      <c r="C12" s="23">
        <f ca="1">C8*C10</f>
        <v>0</v>
      </c>
      <c r="D12" s="23">
        <f>D8*D10</f>
        <v>14.055762319568702</v>
      </c>
      <c r="E12" s="23">
        <f>E8*E10</f>
        <v>4.4398769710163819</v>
      </c>
      <c r="F12" s="23">
        <f>F8*F10</f>
        <v>2134.7085615729484</v>
      </c>
      <c r="G12" s="23"/>
      <c r="H12" s="23"/>
      <c r="I12" s="23"/>
      <c r="J12" s="23">
        <f>J8*J10</f>
        <v>59.047943454685246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0.28747465184852566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560.52239381641482</v>
      </c>
      <c r="C26" s="244">
        <f>B26*'GWP N2O_CH4'!B5</f>
        <v>11770.970270144711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168.59094772537907</v>
      </c>
      <c r="C27" s="244">
        <f>B27*'GWP N2O_CH4'!B5</f>
        <v>3540.4099022329606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8.1805365065247564</v>
      </c>
      <c r="C28" s="244">
        <f>B28*'GWP N2O_CH4'!B4</f>
        <v>2535.9663170226745</v>
      </c>
      <c r="D28" s="50"/>
    </row>
    <row r="29" spans="1:4">
      <c r="A29" s="41" t="s">
        <v>272</v>
      </c>
      <c r="B29" s="244">
        <f>B34*'ha_N2O bodem landbouw'!B4</f>
        <v>25.389709996312529</v>
      </c>
      <c r="C29" s="244">
        <f>B29*'GWP N2O_CH4'!B4</f>
        <v>7870.810098856884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4.1959830376419229E-3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1.515722428661841E-6</v>
      </c>
      <c r="C5" s="435" t="s">
        <v>210</v>
      </c>
      <c r="D5" s="420">
        <f>SUM(D6:D11)</f>
        <v>6.9239580104615602E-6</v>
      </c>
      <c r="E5" s="420">
        <f>SUM(E6:E11)</f>
        <v>6.8978227720553457E-4</v>
      </c>
      <c r="F5" s="433" t="s">
        <v>210</v>
      </c>
      <c r="G5" s="420">
        <f>SUM(G6:G11)</f>
        <v>0.10531443711269503</v>
      </c>
      <c r="H5" s="420">
        <f>SUM(H6:H11)</f>
        <v>2.207565817990224E-2</v>
      </c>
      <c r="I5" s="435" t="s">
        <v>210</v>
      </c>
      <c r="J5" s="435" t="s">
        <v>210</v>
      </c>
      <c r="K5" s="435" t="s">
        <v>210</v>
      </c>
      <c r="L5" s="435" t="s">
        <v>210</v>
      </c>
      <c r="M5" s="420">
        <f>SUM(M6:M11)</f>
        <v>5.5528929860828536E-3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4.7684726023249757E-7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1.5098037964542036E-6</v>
      </c>
      <c r="E6" s="423">
        <f>vkm_GW_PW*SUMIFS(TableVerdeelsleutelVkm[LPG],TableVerdeelsleutelVkm[Voertuigtype],"Lichte voertuigen")*SUMIFS(TableECFTransport[EnergieConsumptieFactor (PJ per km)],TableECFTransport[Index],CONCATENATE($A6,"_LPG_LPG"))</f>
        <v>1.5733468428413019E-4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2.0957019168996716E-2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5.0275436470426449E-3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1.1342042076244005E-3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1.8509295838685929E-8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8.3435678718568693E-3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2.2590194427895115E-7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3.5944437349073812E-4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1.0061702209183901E-6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5.4141542140073564E-6</v>
      </c>
      <c r="E8" s="423">
        <f>vkm_NGW_PW*SUMIFS(TableVerdeelsleutelVkm[LPG],TableVerdeelsleutelVkm[Voertuigtype],"Lichte voertuigen")*SUMIFS(TableECFTransport[EnergieConsumptieFactor (PJ per km)],TableECFTransport[Index],CONCATENATE($A8,"_LPG_LPG"))</f>
        <v>5.3244759292140438E-4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6.7150125413487735E-2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1.7047679507890347E-2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3.6773928812477174E-3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1.4195651672267299E-8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8.8637246583537117E-3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2.0912302496893726E-7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3.8185152371999744E-4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0.42103400796162255</v>
      </c>
      <c r="C14" s="21"/>
      <c r="D14" s="21">
        <f t="shared" ref="D14:M14" si="0">((D5)*10^9/3600)+D12</f>
        <v>1.9233216695726554</v>
      </c>
      <c r="E14" s="21">
        <f t="shared" si="0"/>
        <v>191.60618811264851</v>
      </c>
      <c r="F14" s="21"/>
      <c r="G14" s="21">
        <f t="shared" si="0"/>
        <v>29254.01030908195</v>
      </c>
      <c r="H14" s="21">
        <f t="shared" si="0"/>
        <v>6132.1272721950672</v>
      </c>
      <c r="I14" s="21"/>
      <c r="J14" s="21"/>
      <c r="K14" s="21"/>
      <c r="L14" s="21"/>
      <c r="M14" s="21">
        <f t="shared" si="0"/>
        <v>1542.4702739119039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7.8926974364069022E-2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3.3230940352788216E-2</v>
      </c>
      <c r="C18" s="23"/>
      <c r="D18" s="23">
        <f t="shared" ref="D18:M18" si="1">D14*D16</f>
        <v>0.38851097725367639</v>
      </c>
      <c r="E18" s="23">
        <f t="shared" si="1"/>
        <v>43.494604701571213</v>
      </c>
      <c r="F18" s="23"/>
      <c r="G18" s="23">
        <f t="shared" si="1"/>
        <v>7810.8207525248808</v>
      </c>
      <c r="H18" s="23">
        <f t="shared" si="1"/>
        <v>1526.8996907765718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1.1116605987438059E-5</v>
      </c>
      <c r="C50" s="315">
        <f t="shared" ref="C50:P50" si="2">SUM(C51:C52)</f>
        <v>0</v>
      </c>
      <c r="D50" s="315">
        <f t="shared" si="2"/>
        <v>0</v>
      </c>
      <c r="E50" s="315">
        <f t="shared" si="2"/>
        <v>0</v>
      </c>
      <c r="F50" s="315">
        <f t="shared" si="2"/>
        <v>0</v>
      </c>
      <c r="G50" s="315">
        <f t="shared" si="2"/>
        <v>2.411636059825193E-3</v>
      </c>
      <c r="H50" s="315">
        <f t="shared" si="2"/>
        <v>0</v>
      </c>
      <c r="I50" s="315">
        <f t="shared" si="2"/>
        <v>0</v>
      </c>
      <c r="J50" s="315">
        <f t="shared" si="2"/>
        <v>0</v>
      </c>
      <c r="K50" s="315">
        <f t="shared" si="2"/>
        <v>0</v>
      </c>
      <c r="L50" s="315">
        <f t="shared" si="2"/>
        <v>0</v>
      </c>
      <c r="M50" s="315">
        <f t="shared" si="2"/>
        <v>1.0325699238704473E-4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1.1116605987438059E-5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2.411636059825193E-3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1.0325699238704473E-4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3.0879461076216832</v>
      </c>
      <c r="C54" s="21">
        <f t="shared" ref="C54:P54" si="3">(C50)*10^9/3600</f>
        <v>0</v>
      </c>
      <c r="D54" s="21">
        <f t="shared" si="3"/>
        <v>0</v>
      </c>
      <c r="E54" s="21">
        <f t="shared" si="3"/>
        <v>0</v>
      </c>
      <c r="F54" s="21">
        <f t="shared" si="3"/>
        <v>0</v>
      </c>
      <c r="G54" s="21">
        <f t="shared" si="3"/>
        <v>669.89890550699806</v>
      </c>
      <c r="H54" s="21">
        <f t="shared" si="3"/>
        <v>0</v>
      </c>
      <c r="I54" s="21">
        <f t="shared" si="3"/>
        <v>0</v>
      </c>
      <c r="J54" s="21">
        <f t="shared" si="3"/>
        <v>0</v>
      </c>
      <c r="K54" s="21">
        <f t="shared" si="3"/>
        <v>0</v>
      </c>
      <c r="L54" s="21">
        <f t="shared" si="3"/>
        <v>0</v>
      </c>
      <c r="M54" s="21">
        <f t="shared" si="3"/>
        <v>28.682497885290203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7.8926974364069022E-2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0.24372224327388331</v>
      </c>
      <c r="C58" s="23">
        <f t="shared" ref="C58:P58" ca="1" si="4">C54*C56</f>
        <v>0</v>
      </c>
      <c r="D58" s="23">
        <f t="shared" si="4"/>
        <v>0</v>
      </c>
      <c r="E58" s="23">
        <f t="shared" si="4"/>
        <v>0</v>
      </c>
      <c r="F58" s="23">
        <f t="shared" si="4"/>
        <v>0</v>
      </c>
      <c r="G58" s="23">
        <f t="shared" si="4"/>
        <v>178.86300777036848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986.17889098563592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17541</v>
      </c>
      <c r="C8" s="546">
        <f>B49</f>
        <v>0</v>
      </c>
      <c r="D8" s="965"/>
      <c r="E8" s="965">
        <f>E49</f>
        <v>0</v>
      </c>
      <c r="F8" s="966"/>
      <c r="G8" s="547"/>
      <c r="H8" s="965">
        <f>I49</f>
        <v>0</v>
      </c>
      <c r="I8" s="965">
        <f>G49+F49</f>
        <v>0</v>
      </c>
      <c r="J8" s="965">
        <f>H49+D49+C49</f>
        <v>20636.470588235294</v>
      </c>
      <c r="K8" s="965"/>
      <c r="L8" s="965"/>
      <c r="M8" s="965"/>
      <c r="N8" s="548"/>
      <c r="O8" s="549">
        <f>C8*$C$12+D8*$D$12+E8*$E$12+F8*$F$12+G8*$G$12+H8*$H$12+I8*$I$12+J8*$J$12</f>
        <v>0</v>
      </c>
      <c r="P8" s="1255"/>
      <c r="Q8" s="1256"/>
      <c r="S8" s="998"/>
      <c r="T8" s="1252"/>
      <c r="U8" s="1252"/>
    </row>
    <row r="9" spans="1:21" s="534" customFormat="1" ht="17.45" customHeight="1" thickBot="1">
      <c r="A9" s="550" t="s">
        <v>243</v>
      </c>
      <c r="B9" s="1002">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18527.178890985637</v>
      </c>
      <c r="C10" s="558">
        <f t="shared" ref="C10:L10" si="0">SUM(C8:C9)</f>
        <v>0</v>
      </c>
      <c r="D10" s="558">
        <f t="shared" si="0"/>
        <v>0</v>
      </c>
      <c r="E10" s="558">
        <f t="shared" si="0"/>
        <v>0</v>
      </c>
      <c r="F10" s="558">
        <f t="shared" si="0"/>
        <v>0</v>
      </c>
      <c r="G10" s="558">
        <f t="shared" si="0"/>
        <v>0</v>
      </c>
      <c r="H10" s="558">
        <f t="shared" si="0"/>
        <v>0</v>
      </c>
      <c r="I10" s="558">
        <f t="shared" si="0"/>
        <v>0</v>
      </c>
      <c r="J10" s="558">
        <f t="shared" si="0"/>
        <v>20636.470588235294</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25058.571428571428</v>
      </c>
      <c r="C17" s="570">
        <f>B50</f>
        <v>0</v>
      </c>
      <c r="D17" s="571"/>
      <c r="E17" s="571">
        <f>E50</f>
        <v>0</v>
      </c>
      <c r="F17" s="572"/>
      <c r="G17" s="573"/>
      <c r="H17" s="570">
        <f>I50</f>
        <v>0</v>
      </c>
      <c r="I17" s="571">
        <f>G50+F50</f>
        <v>0</v>
      </c>
      <c r="J17" s="571">
        <f>H50+D50+C50</f>
        <v>29480.672268907561</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25058.571428571428</v>
      </c>
      <c r="C20" s="557">
        <f>SUM(C17:C19)</f>
        <v>0</v>
      </c>
      <c r="D20" s="557">
        <f t="shared" ref="D20:L20" si="1">SUM(D17:D19)</f>
        <v>0</v>
      </c>
      <c r="E20" s="557">
        <f t="shared" si="1"/>
        <v>0</v>
      </c>
      <c r="F20" s="557">
        <f t="shared" si="1"/>
        <v>0</v>
      </c>
      <c r="G20" s="557">
        <f t="shared" si="1"/>
        <v>0</v>
      </c>
      <c r="H20" s="557">
        <f t="shared" si="1"/>
        <v>0</v>
      </c>
      <c r="I20" s="557">
        <f t="shared" si="1"/>
        <v>0</v>
      </c>
      <c r="J20" s="557">
        <f t="shared" si="1"/>
        <v>29480.672268907561</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44080</v>
      </c>
      <c r="C28" s="777">
        <v>9930</v>
      </c>
      <c r="D28" s="630" t="s">
        <v>983</v>
      </c>
      <c r="E28" s="629" t="s">
        <v>984</v>
      </c>
      <c r="F28" s="629" t="s">
        <v>985</v>
      </c>
      <c r="G28" s="629" t="s">
        <v>986</v>
      </c>
      <c r="H28" s="629" t="s">
        <v>987</v>
      </c>
      <c r="I28" s="629" t="s">
        <v>988</v>
      </c>
      <c r="J28" s="776">
        <v>39702</v>
      </c>
      <c r="K28" s="776">
        <v>39417</v>
      </c>
      <c r="L28" s="629" t="s">
        <v>989</v>
      </c>
      <c r="M28" s="629">
        <v>1038</v>
      </c>
      <c r="N28" s="629">
        <v>4671</v>
      </c>
      <c r="O28" s="629">
        <v>6672.8571428571431</v>
      </c>
      <c r="P28" s="629">
        <v>0</v>
      </c>
      <c r="Q28" s="629">
        <v>13345.714285714286</v>
      </c>
      <c r="R28" s="629">
        <v>0</v>
      </c>
      <c r="S28" s="629">
        <v>0</v>
      </c>
      <c r="T28" s="629">
        <v>0</v>
      </c>
      <c r="U28" s="629">
        <v>0</v>
      </c>
      <c r="V28" s="629">
        <v>0</v>
      </c>
      <c r="W28" s="629">
        <v>0</v>
      </c>
      <c r="X28" s="629">
        <v>10</v>
      </c>
      <c r="Y28" s="629" t="s">
        <v>111</v>
      </c>
      <c r="Z28" s="631" t="s">
        <v>111</v>
      </c>
    </row>
    <row r="29" spans="1:26" s="583" customFormat="1" ht="25.5">
      <c r="A29" s="582"/>
      <c r="B29" s="777">
        <v>44080</v>
      </c>
      <c r="C29" s="777">
        <v>9930</v>
      </c>
      <c r="D29" s="630" t="s">
        <v>990</v>
      </c>
      <c r="E29" s="629" t="s">
        <v>991</v>
      </c>
      <c r="F29" s="629" t="s">
        <v>992</v>
      </c>
      <c r="G29" s="629" t="s">
        <v>986</v>
      </c>
      <c r="H29" s="629" t="s">
        <v>987</v>
      </c>
      <c r="I29" s="629" t="s">
        <v>991</v>
      </c>
      <c r="J29" s="776">
        <v>40744</v>
      </c>
      <c r="K29" s="776">
        <v>40192</v>
      </c>
      <c r="L29" s="629" t="s">
        <v>989</v>
      </c>
      <c r="M29" s="629">
        <v>2860</v>
      </c>
      <c r="N29" s="629">
        <v>12870</v>
      </c>
      <c r="O29" s="629">
        <v>18385.714285714286</v>
      </c>
      <c r="P29" s="629">
        <v>0</v>
      </c>
      <c r="Q29" s="629">
        <v>36771.428571428572</v>
      </c>
      <c r="R29" s="629">
        <v>0</v>
      </c>
      <c r="S29" s="629">
        <v>0</v>
      </c>
      <c r="T29" s="629">
        <v>0</v>
      </c>
      <c r="U29" s="629">
        <v>0</v>
      </c>
      <c r="V29" s="629">
        <v>0</v>
      </c>
      <c r="W29" s="629">
        <v>0</v>
      </c>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3898</v>
      </c>
      <c r="N30" s="587">
        <f>SUM(N28:N29)</f>
        <v>17541</v>
      </c>
      <c r="O30" s="587">
        <f>SUM(O28:O29)</f>
        <v>25058.571428571428</v>
      </c>
      <c r="P30" s="587">
        <f>SUM(P28:P29)</f>
        <v>0</v>
      </c>
      <c r="Q30" s="587">
        <f>SUM(Q28:Q29)</f>
        <v>50117.142857142855</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3898</v>
      </c>
      <c r="N33" s="592">
        <f>SUMIF($Z$28:$Z$29,"landbouw",N28:N29)</f>
        <v>17541</v>
      </c>
      <c r="O33" s="592">
        <f>SUMIF($Z$28:$Z$29,"landbouw",O28:O29)</f>
        <v>25058.571428571428</v>
      </c>
      <c r="P33" s="592">
        <f>SUMIF($Z$28:$Z$29,"landbouw",P28:P29)</f>
        <v>0</v>
      </c>
      <c r="Q33" s="592">
        <f>SUMIF($Z$28:$Z$29,"landbouw",Q28:Q29)</f>
        <v>50117.142857142855</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0</v>
      </c>
      <c r="C49" s="621">
        <f t="shared" si="2"/>
        <v>20636.470588235294</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0</v>
      </c>
      <c r="C50" s="624">
        <f t="shared" si="3"/>
        <v>29480.672268907561</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2021-06-29T17:03:40Z</dcterms:modified>
</cp:coreProperties>
</file>