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<sst xmlns="http://schemas.openxmlformats.org/spreadsheetml/2006/main" count="2581" uniqueCount="983">
  <si>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</si>
  <si>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</si>
  <si>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</si>
  <si>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</si>
  <si>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</si>
  <si>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</si>
  <si>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</si>
  <si>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</si>
  <si>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</si>
  <si>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</si>
  <si>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</si>
  <si>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</si>
  <si>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</si>
  <si>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</si>
  <si>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</si>
  <si>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</si>
  <si>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</si>
  <si>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</si>
  <si>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</si>
  <si>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</si>
  <si>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</si>
  <si>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</si>
  <si>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</si>
  <si>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</si>
  <si>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</si>
  <si>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</si>
  <si>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</si>
  <si>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</si>
  <si>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</si>
  <si>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</si>
  <si>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</si>
  <si>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</si>
  <si>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</si>
  <si>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</si>
  <si>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</si>
  <si>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</si>
  <si>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</si>
  <si>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</si>
  <si>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</si>
  <si>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</si>
  <si>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</si>
  <si>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</si>
  <si>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</si>
  <si>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</si>
  <si>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</si>
  <si>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</si>
  <si>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</si>
  <si>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</si>
  <si>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</si>
  <si>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</si>
  <si>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</si>
  <si>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</si>
  <si>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</si>
  <si>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</si>
  <si>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</si>
  <si>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</si>
  <si>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</si>
  <si>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</si>
  <si>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</si>
  <si>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</si>
  <si>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</si>
  <si>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</si>
  <si>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</si>
  <si>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</si>
  <si>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</si>
  <si>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</si>
  <si>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</si>
  <si>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</si>
  <si>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</si>
  <si>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</si>
  <si>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</si>
  <si>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</si>
  <si>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</si>
  <si>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</si>
  <si>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</si>
  <si>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</si>
  <si>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</si>
  <si>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</si>
  <si>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</si>
  <si>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</si>
  <si>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</si>
  <si>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</si>
  <si>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</si>
  <si>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</si>
  <si>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</si>
  <si>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</si>
  <si>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</si>
  <si>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</si>
  <si>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</si>
  <si>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</si>
  <si>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</si>
  <si>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</si>
  <si>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</si>
  <si>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</si>
  <si>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</si>
  <si>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</si>
  <si>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</si>
  <si>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</si>
  <si>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</si>
  <si>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</si>
  <si>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</si>
  <si>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</si>
  <si>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</si>
  <si>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</si>
  <si>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</si>
  <si>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</si>
  <si>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</si>
  <si>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</si>
  <si>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</si>
  <si>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</si>
  <si>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</si>
  <si>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</si>
  <si>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</si>
  <si>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</si>
  <si>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</si>
  <si>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</si>
  <si>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</si>
  <si>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</si>
  <si>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</si>
  <si>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</si>
  <si>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</si>
  <si>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</si>
  <si>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</si>
  <si>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</si>
  <si>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</si>
  <si>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</si>
  <si>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</si>
  <si>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</si>
  <si>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</si>
  <si>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</si>
  <si>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</si>
  <si>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</si>
  <si>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</si>
  <si>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</si>
  <si>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</si>
  <si>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</si>
  <si>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</si>
  <si>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</si>
  <si>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</si>
  <si>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</si>
  <si>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</si>
  <si>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</si>
  <si>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</si>
  <si>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</si>
  <si>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</si>
  <si>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</si>
  <si>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</si>
  <si>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</si>
  <si>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</si>
  <si>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</si>
  <si>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</si>
  <si>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</si>
  <si>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</si>
  <si>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</si>
  <si>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</si>
  <si>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</si>
  <si>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</si>
  <si>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</si>
  <si>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</si>
  <si>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</si>
  <si>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</si>
  <si>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</si>
  <si>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</si>
  <si>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</si>
  <si>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</si>
  <si>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</si>
  <si>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</si>
  <si>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</si>
  <si>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</si>
  <si>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</si>
  <si>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</si>
  <si>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</si>
  <si>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</si>
  <si>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</si>
  <si>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</si>
  <si>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</si>
  <si>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</si>
  <si>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</si>
  <si>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</si>
  <si>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</si>
  <si>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</si>
  <si>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</si>
  <si>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</si>
  <si>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</si>
  <si>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</si>
  <si>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</si>
  <si>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</si>
  <si>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</si>
  <si>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</si>
  <si>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</si>
  <si>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</si>
  <si>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</si>
  <si>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</si>
  <si>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</si>
  <si>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</si>
  <si>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</si>
  <si>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</si>
  <si>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</si>
  <si>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</si>
  <si>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</si>
  <si>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</si>
  <si>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</si>
  <si>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</si>
  <si>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</si>
  <si>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</si>
  <si>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</si>
  <si>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</si>
  <si>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</si>
  <si>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</si>
  <si>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</si>
  <si>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</si>
  <si>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</si>
  <si>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</si>
  <si>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</si>
  <si>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</si>
  <si>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</si>
  <si>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</si>
  <si>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</si>
  <si>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</si>
  <si>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</si>
  <si>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</si>
  <si>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</si>
  <si>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</si>
  <si>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</si>
  <si>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</si>
  <si>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</si>
  <si>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</si>
  <si>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</si>
  <si>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</si>
  <si>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</si>
  <si>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</si>
  <si>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</si>
  <si>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</si>
  <si>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</si>
  <si>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</si>
  <si>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</si>
  <si>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</si>
  <si>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</si>
  <si>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</si>
  <si>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</si>
  <si>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</si>
  <si>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</si>
  <si>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</si>
  <si>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</si>
  <si>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</si>
  <si>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</si>
  <si>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</si>
  <si>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</si>
  <si>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</si>
  <si>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</si>
  <si>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</si>
  <si>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</si>
  <si>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</si>
  <si>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</si>
  <si>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</si>
  <si>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</si>
  <si>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</si>
  <si>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</si>
  <si>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</si>
  <si>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</si>
  <si>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</si>
  <si>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</si>
  <si>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</si>
  <si>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</si>
  <si>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</si>
  <si>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</si>
  <si>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</si>
  <si>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</si>
  <si>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</si>
  <si>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</si>
  <si>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</si>
  <si>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</si>
  <si>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</si>
  <si>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</si>
  <si>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</si>
  <si>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</si>
  <si>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</si>
  <si>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</si>
  <si>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</si>
  <si>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</si>
  <si>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</si>
  <si>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</si>
  <si>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</si>
  <si>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</si>
  <si>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</si>
  <si>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</si>
  <si>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</si>
  <si>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</si>
  <si>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</si>
  <si>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</si>
  <si>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</si>
  <si>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</si>
  <si>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</si>
  <si>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</si>
  <si>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</si>
  <si>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</si>
  <si>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</si>
  <si>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</si>
  <si>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</si>
  <si>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</si>
  <si>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</si>
  <si>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</si>
  <si>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</si>
  <si>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</si>
  <si>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</si>
  <si>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</si>
  <si>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</si>
  <si>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</si>
  <si>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</si>
  <si>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</si>
  <si>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</si>
  <si>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</si>
  <si>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</si>
  <si>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</si>
  <si>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</si>
  <si>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</si>
  <si>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</si>
  <si>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</si>
  <si>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</si>
  <si>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</si>
  <si>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</si>
  <si>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</si>
  <si>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</si>
  <si>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</si>
  <si>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</si>
  <si>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</si>
  <si>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</si>
  <si>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</si>
  <si>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</si>
  <si>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</si>
  <si>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</si>
  <si>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</si>
  <si>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</si>
  <si>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</si>
  <si>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</si>
  <si>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</si>
  <si>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</si>
  <si>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</si>
  <si>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</si>
  <si>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</si>
  <si>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</si>
  <si>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</si>
  <si>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</si>
  <si>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</si>
  <si>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</si>
  <si>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</si>
  <si>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</si>
  <si>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</si>
  <si>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</si>
  <si>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</si>
  <si>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</si>
  <si>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</si>
  <si>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</si>
  <si>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</si>
  <si>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</si>
  <si>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</si>
  <si>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</si>
  <si>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</si>
  <si>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</si>
  <si>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</si>
  <si>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</si>
  <si>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</si>
  <si>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</si>
  <si>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</si>
  <si>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</si>
  <si>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</si>
  <si>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</si>
  <si>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</si>
  <si>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</si>
  <si>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</si>
  <si>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</si>
  <si>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</si>
  <si>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</si>
  <si>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</si>
  <si>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</si>
  <si>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</si>
  <si>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</si>
  <si>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</si>
  <si>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</si>
  <si>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</si>
  <si>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</si>
  <si>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</si>
  <si>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</si>
  <si>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</si>
  <si>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</si>
  <si>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</si>
  <si>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</si>
  <si>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</si>
  <si>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</si>
  <si>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</si>
  <si>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</si>
  <si>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</si>
  <si>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</si>
  <si>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</si>
  <si>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</si>
  <si>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</si>
  <si>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</si>
  <si>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</si>
  <si>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</si>
  <si>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</si>
  <si>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</si>
  <si>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</si>
  <si>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</si>
  <si>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</si>
  <si>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</si>
  <si>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</si>
  <si>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</si>
  <si>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</si>
  <si>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</si>
  <si>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</si>
  <si>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</si>
  <si>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</si>
  <si>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</si>
  <si>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</si>
  <si>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</si>
  <si>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</si>
  <si>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</si>
  <si>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</si>
  <si>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</si>
  <si>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</si>
  <si>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</si>
  <si>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</si>
  <si>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</si>
  <si>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</si>
  <si>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</si>
  <si>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</si>
  <si>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</si>
  <si>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</si>
  <si>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</si>
  <si>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</si>
  <si>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</si>
  <si>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</si>
  <si>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</si>
  <si>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</si>
  <si>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</si>
  <si>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</si>
  <si>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</si>
  <si>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</si>
  <si>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</si>
  <si>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</si>
  <si>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</si>
  <si>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</si>
  <si>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</si>
  <si>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</si>
  <si>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</si>
  <si>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</si>
  <si>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</si>
  <si>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</si>
  <si>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</si>
  <si>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</si>
  <si>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</si>
  <si>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</si>
  <si>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</si>
  <si>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</si>
  <si>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</si>
  <si>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</si>
  <si>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</si>
  <si>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</si>
  <si>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</si>
  <si>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</si>
  <si>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</si>
  <si>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</si>
  <si>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</si>
  <si>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</si>
  <si>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</si>
  <si>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</si>
  <si>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</si>
  <si>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</si>
  <si>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</si>
  <si>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</si>
  <si>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</si>
  <si>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</si>
  <si>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</si>
  <si>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</si>
  <si>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</si>
  <si>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</si>
  <si>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</si>
  <si>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</si>
  <si>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</si>
  <si>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</si>
  <si>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</si>
  <si>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</si>
  <si>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</si>
  <si>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</si>
  <si>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</si>
  <si>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</si>
  <si>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</si>
  <si>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</si>
  <si>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</si>
  <si>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</si>
  <si>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</si>
  <si>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</si>
  <si>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</si>
  <si>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</si>
  <si>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</si>
  <si>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</si>
  <si>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</si>
  <si>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</si>
  <si>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</si>
  <si>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</si>
  <si>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</si>
  <si>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</si>
  <si>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</si>
  <si>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</si>
  <si>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</si>
  <si>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</si>
  <si>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</si>
  <si>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</si>
  <si>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</si>
  <si>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</si>
  <si>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</si>
  <si>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</si>
  <si>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</si>
  <si>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</si>
  <si>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</si>
  <si>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</si>
  <si>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</si>
  <si>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</si>
  <si>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</si>
  <si>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</si>
  <si>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</si>
  <si>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</si>
  <si>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</si>
  <si>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</si>
  <si>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</si>
  <si>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</si>
  <si>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</si>
  <si>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</si>
  <si>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</si>
  <si>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</si>
  <si>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</si>
  <si>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</si>
  <si>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</si>
  <si>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</si>
  <si>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</si>
  <si>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</si>
  <si>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</si>
  <si>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</si>
  <si>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</si>
  <si>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</si>
  <si>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</si>
  <si>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</si>
  <si>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</si>
  <si>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</si>
  <si>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</si>
  <si>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</si>
  <si>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</si>
  <si>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</si>
  <si>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</si>
  <si>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</si>
  <si>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</si>
  <si>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</si>
  <si>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</si>
  <si>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</si>
  <si>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</si>
  <si>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</si>
  <si>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</si>
  <si>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</si>
  <si>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</si>
  <si>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</si>
  <si>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</si>
  <si>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</si>
  <si>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</si>
  <si>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</si>
  <si>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</si>
  <si>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</si>
  <si>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</si>
  <si>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</si>
  <si>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</si>
  <si>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</si>
  <si>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</si>
  <si>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</si>
  <si>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</si>
  <si>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</si>
  <si>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</si>
  <si>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</si>
  <si>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</si>
  <si>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</si>
  <si>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</si>
  <si>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</si>
  <si>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</si>
  <si>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</si>
  <si>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</si>
  <si>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</si>
  <si>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</si>
  <si>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</si>
  <si>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</si>
  <si>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</si>
  <si>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</si>
  <si>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</si>
  <si>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</si>
  <si>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</si>
  <si>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</si>
  <si>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</si>
  <si>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</si>
  <si>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</si>
  <si>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</si>
  <si>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</si>
  <si>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</si>
  <si>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</si>
  <si>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</si>
  <si>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</si>
  <si>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</si>
  <si>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</si>
  <si>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</si>
  <si>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</si>
  <si>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</si>
  <si>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</si>
  <si>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</si>
  <si>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</si>
  <si>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</si>
  <si>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</si>
  <si>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</si>
  <si>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</si>
  <si>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</si>
  <si>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</si>
  <si>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</si>
  <si>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</si>
  <si>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</si>
  <si>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</si>
  <si>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</si>
  <si>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</si>
  <si>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</si>
  <si>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</si>
  <si>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</si>
  <si>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</si>
  <si>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</si>
  <si>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</si>
  <si>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</si>
  <si>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</si>
  <si>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</si>
  <si>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</si>
  <si>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</si>
  <si>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</si>
  <si>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</si>
  <si>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</si>
  <si>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</si>
  <si>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</si>
  <si>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</si>
  <si>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</si>
  <si>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</si>
  <si>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</si>
  <si>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</si>
  <si>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</si>
  <si>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</si>
  <si>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</si>
  <si>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</si>
  <si>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</si>
  <si>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</si>
  <si>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</si>
  <si>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</si>
  <si>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</si>
  <si>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</si>
  <si>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</si>
  <si>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</si>
  <si>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</si>
  <si>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</si>
  <si>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</si>
  <si>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</si>
  <si>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</si>
  <si>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</si>
  <si>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</si>
  <si>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</si>
  <si>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</si>
  <si>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</si>
  <si>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</si>
  <si>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</si>
  <si>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</si>
  <si>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</si>
  <si>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</si>
  <si>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</si>
  <si>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</si>
  <si>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</si>
  <si>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</si>
  <si>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</si>
  <si>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</si>
  <si>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</si>
  <si>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</si>
  <si>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</si>
  <si>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</si>
  <si>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</si>
  <si>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</si>
  <si>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</si>
  <si>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</si>
  <si>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</si>
  <si>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</si>
  <si>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</si>
  <si>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</si>
  <si>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</si>
  <si>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</si>
  <si>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</si>
  <si>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</si>
  <si>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</si>
  <si>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</si>
  <si>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</si>
  <si>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</si>
  <si>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</si>
  <si>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</si>
  <si>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</si>
  <si>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</si>
  <si>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</si>
  <si>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</si>
  <si>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</si>
  <si>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</si>
  <si>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</si>
  <si>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</si>
  <si>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</si>
  <si>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</si>
  <si>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</si>
  <si>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</si>
  <si>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</si>
  <si>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</si>
  <si>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</si>
  <si>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</si>
  <si>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</si>
  <si>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</si>
  <si>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</si>
  <si>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</si>
  <si>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</si>
  <si>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</si>
  <si>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</si>
  <si>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</si>
  <si>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</si>
  <si>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</si>
  <si>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</si>
  <si>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</si>
  <si>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</si>
  <si>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</si>
  <si>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</si>
  <si>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</si>
  <si>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</si>
  <si>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</si>
  <si>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</si>
  <si>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</si>
  <si>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</si>
  <si>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</si>
  <si>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</si>
  <si>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</si>
  <si>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</si>
  <si>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</si>
  <si>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</si>
  <si>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</si>
  <si>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</si>
  <si>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</si>
  <si>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</si>
  <si>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</si>
  <si>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</si>
  <si>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</si>
  <si>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</si>
  <si>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</si>
  <si>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</si>
  <si>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</si>
  <si>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</si>
  <si>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</si>
  <si>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</si>
  <si>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</si>
  <si>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</si>
  <si>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</si>
  <si>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</si>
  <si>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</si>
  <si>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</si>
  <si>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</si>
  <si>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</si>
  <si>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</si>
  <si>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</si>
  <si>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</si>
  <si>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</si>
  <si>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</si>
  <si>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</si>
  <si>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</si>
  <si>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</si>
  <si>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</si>
  <si>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</si>
  <si>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</si>
  <si>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</si>
  <si>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</si>
  <si>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</si>
  <si>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</si>
  <si>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</si>
  <si>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</si>
  <si>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</si>
  <si>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</si>
  <si>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</si>
  <si>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</si>
  <si>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</si>
  <si>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</si>
  <si>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</si>
  <si>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</si>
  <si>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</si>
  <si>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</si>
  <si>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</si>
  <si>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</si>
  <si>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</si>
  <si>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</si>
  <si>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</si>
  <si>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</si>
  <si>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</si>
  <si>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</si>
  <si>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</si>
  <si>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</si>
  <si>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</si>
  <si>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</si>
  <si>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</si>
  <si>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</si>
  <si>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</si>
  <si>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</si>
  <si>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</si>
  <si>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</si>
  <si>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</si>
  <si>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</si>
  <si>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</si>
  <si>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</si>
  <si>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</si>
  <si>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</si>
  <si>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</si>
  <si>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</si>
  <si>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</si>
  <si>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</si>
  <si>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</si>
  <si>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</si>
  <si>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</si>
  <si>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</si>
  <si>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</si>
  <si>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</si>
  <si>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</si>
  <si>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</si>
  <si>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</si>
  <si>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</si>
  <si>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</si>
  <si>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</si>
  <si>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</si>
  <si>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</si>
  <si>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</si>
  <si>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</si>
  <si>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</si>
  <si>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</si>
  <si>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</si>
  <si>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</si>
  <si>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</si>
  <si>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</si>
  <si>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</si>
  <si>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</si>
  <si>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</si>
  <si>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</si>
  <si>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</si>
  <si>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</si>
  <si>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</si>
  <si>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</si>
  <si>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</si>
  <si>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</si>
  <si>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</si>
  <si>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</si>
  <si>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</si>
  <si>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</si>
  <si>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</si>
  <si>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</si>
  <si>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</si>
  <si>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</si>
  <si>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</si>
  <si>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</si>
  <si>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</si>
  <si>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</si>
  <si>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</si>
  <si>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</si>
  <si>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</si>
  <si>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</si>
  <si>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</si>
  <si>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</si>
  <si>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</si>
  <si>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</si>
  <si>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</si>
  <si>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</si>
  <si>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</si>
  <si>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</si>
  <si>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</si>
  <si>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</si>
  <si>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</si>
  <si>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</si>
  <si>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</si>
  <si>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</si>
  <si>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</si>
  <si>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</si>
  <si>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</si>
  <si>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</si>
  <si>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</si>
  <si>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</si>
  <si>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</si>
  <si>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</si>
  <si>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</si>
  <si>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</si>
  <si>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</si>
  <si>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</si>
  <si>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</si>
  <si>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</si>
  <si>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</si>
  <si>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</si>
  <si>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</si>
  <si>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</si>
  <si>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</si>
  <si>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</si>
  <si>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</si>
  <si>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</si>
  <si>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</si>
  <si>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</si>
  <si>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</si>
  <si>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</si>
  <si>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</si>
  <si>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</si>
  <si>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</si>
  <si>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</si>
  <si>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</si>
  <si>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</si>
  <si>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</si>
  <si>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</si>
  <si>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</si>
  <si>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</si>
  <si>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</si>
  <si>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</si>
  <si>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</si>
  <si>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</si>
  <si>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</si>
  <si>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</si>
  <si>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</si>
  <si>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</si>
  <si>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</si>
  <si>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</si>
  <si>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</si>
  <si>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</si>
  <si>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</si>
  <si>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</si>
  <si>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</si>
  <si>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</si>
  <si>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</si>
  <si>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</si>
  <si>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</si>
  <si>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</si>
  <si>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</si>
  <si>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</si>
  <si>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</si>
  <si>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</si>
  <si>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</si>
  <si>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</si>
  <si>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</si>
  <si>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</si>
  <si>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</si>
  <si>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</si>
  <si>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</si>
  <si>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</si>
  <si>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</si>
  <si>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</si>
  <si>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</si>
  <si>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</si>
  <si>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</si>
  <si>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</si>
  <si>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</si>
  <si>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</si>
  <si>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</si>
  <si>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</si>
  <si>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</si>
  <si>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</si>
  <si>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</si>
  <si>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</si>
  <si>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</si>
  <si>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</si>
  <si>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</si>
  <si>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</si>
  <si>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</si>
  <si>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</si>
  <si>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</si>
  <si>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</si>
  <si>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</si>
  <si>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</si>
  <si>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</si>
  <si>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</si>
  <si>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</si>
  <si>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</si>
  <si>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44073</t>
  </si>
  <si>
    <t>WACHTEBEKE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</si>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</sst>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44073</v>
      </c>
      <c r="B6" s="386"/>
      <c r="C6" s="387"/>
    </row>
    <row r="7" spans="1:7" s="384" customFormat="1" ht="15.75" customHeight="1">
      <c r="A7" s="388" t="str">
        <f>txtMunicipality</f>
        <v>WACHTEBEKE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9397.182743406418</v>
      </c>
      <c r="D10" s="676">
        <f ca="1">tertiair!C16</f>
        <v>0</v>
      </c>
      <c r="E10" s="676">
        <f ca="1">tertiair!D16</f>
        <v>7627.3373944846762</v>
      </c>
      <c r="F10" s="676">
        <f>tertiair!E16</f>
        <v>235.40911461295846</v>
      </c>
      <c r="G10" s="676">
        <f ca="1">tertiair!F16</f>
        <v>1487.492426490739</v>
      </c>
      <c r="H10" s="676">
        <f>tertiair!G16</f>
        <v>0</v>
      </c>
      <c r="I10" s="676">
        <f>tertiair!H16</f>
        <v>0</v>
      </c>
      <c r="J10" s="676">
        <f>tertiair!I16</f>
        <v>0</v>
      </c>
      <c r="K10" s="676">
        <f>tertiair!J16</f>
        <v>0</v>
      </c>
      <c r="L10" s="676">
        <f>tertiair!K16</f>
        <v>0</v>
      </c>
      <c r="M10" s="676">
        <f ca="1">tertiair!L16</f>
        <v>0</v>
      </c>
      <c r="N10" s="676">
        <f>tertiair!M16</f>
        <v>0</v>
      </c>
      <c r="O10" s="676">
        <f ca="1">tertiair!N16</f>
        <v>195.9289697454081</v>
      </c>
      <c r="P10" s="676">
        <f>tertiair!O16</f>
        <v>0</v>
      </c>
      <c r="Q10" s="677">
        <f>tertiair!P16</f>
        <v>0</v>
      </c>
      <c r="R10" s="679">
        <f ca="1">SUM(C10:Q10)</f>
        <v>18943.350648740197</v>
      </c>
      <c r="S10" s="67"/>
    </row>
    <row r="11" spans="1:19" s="445" customFormat="1">
      <c r="A11" s="791" t="s">
        <v>220</v>
      </c>
      <c r="B11" s="796"/>
      <c r="C11" s="676">
        <f>huishoudens!B8</f>
        <v>17195.260510495431</v>
      </c>
      <c r="D11" s="676">
        <f>huishoudens!C8</f>
        <v>0</v>
      </c>
      <c r="E11" s="676">
        <f>huishoudens!D8</f>
        <v>15553.101308931717</v>
      </c>
      <c r="F11" s="676">
        <f>huishoudens!E8</f>
        <v>870.27783526093049</v>
      </c>
      <c r="G11" s="676">
        <f>huishoudens!F8</f>
        <v>29706.407946810086</v>
      </c>
      <c r="H11" s="676">
        <f>huishoudens!G8</f>
        <v>0</v>
      </c>
      <c r="I11" s="676">
        <f>huishoudens!H8</f>
        <v>0</v>
      </c>
      <c r="J11" s="676">
        <f>huishoudens!I8</f>
        <v>0</v>
      </c>
      <c r="K11" s="676">
        <f>huishoudens!J8</f>
        <v>668.91299268684315</v>
      </c>
      <c r="L11" s="676">
        <f>huishoudens!K8</f>
        <v>0</v>
      </c>
      <c r="M11" s="676">
        <f>huishoudens!L8</f>
        <v>0</v>
      </c>
      <c r="N11" s="676">
        <f>huishoudens!M8</f>
        <v>0</v>
      </c>
      <c r="O11" s="676">
        <f>huishoudens!N8</f>
        <v>3701.8636489516566</v>
      </c>
      <c r="P11" s="676">
        <f>huishoudens!O8</f>
        <v>54.716666666666669</v>
      </c>
      <c r="Q11" s="677">
        <f>huishoudens!P8</f>
        <v>133.46666666666667</v>
      </c>
      <c r="R11" s="679">
        <f>SUM(C11:Q11)</f>
        <v>67884.007576469987</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641.21686546470903</v>
      </c>
      <c r="D13" s="676">
        <f>industrie!C18</f>
        <v>0</v>
      </c>
      <c r="E13" s="676">
        <f>industrie!D18</f>
        <v>523.66325351585863</v>
      </c>
      <c r="F13" s="676">
        <f>industrie!E18</f>
        <v>7.1747123335535123</v>
      </c>
      <c r="G13" s="676">
        <f>industrie!F18</f>
        <v>229.27738216760804</v>
      </c>
      <c r="H13" s="676">
        <f>industrie!G18</f>
        <v>0</v>
      </c>
      <c r="I13" s="676">
        <f>industrie!H18</f>
        <v>0</v>
      </c>
      <c r="J13" s="676">
        <f>industrie!I18</f>
        <v>0</v>
      </c>
      <c r="K13" s="676">
        <f>industrie!J18</f>
        <v>4.0159520578152845</v>
      </c>
      <c r="L13" s="676">
        <f>industrie!K18</f>
        <v>0</v>
      </c>
      <c r="M13" s="676">
        <f>industrie!L18</f>
        <v>0</v>
      </c>
      <c r="N13" s="676">
        <f>industrie!M18</f>
        <v>0</v>
      </c>
      <c r="O13" s="676">
        <f>industrie!N18</f>
        <v>20.717398865447688</v>
      </c>
      <c r="P13" s="676">
        <f>industrie!O18</f>
        <v>0</v>
      </c>
      <c r="Q13" s="677">
        <f>industrie!P18</f>
        <v>0</v>
      </c>
      <c r="R13" s="679">
        <f>SUM(C13:Q13)</f>
        <v>1426.0655644049921</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27233.660119366559</v>
      </c>
      <c r="D16" s="709">
        <f t="shared" ref="D16:R16" ca="1" si="0">SUM(D9:D15)</f>
        <v>0</v>
      </c>
      <c r="E16" s="709">
        <f t="shared" ca="1" si="0"/>
        <v>23704.101956932249</v>
      </c>
      <c r="F16" s="709">
        <f t="shared" si="0"/>
        <v>1112.8616622074426</v>
      </c>
      <c r="G16" s="709">
        <f t="shared" ca="1" si="0"/>
        <v>31423.177755468434</v>
      </c>
      <c r="H16" s="709">
        <f t="shared" si="0"/>
        <v>0</v>
      </c>
      <c r="I16" s="709">
        <f t="shared" si="0"/>
        <v>0</v>
      </c>
      <c r="J16" s="709">
        <f t="shared" si="0"/>
        <v>0</v>
      </c>
      <c r="K16" s="709">
        <f t="shared" si="0"/>
        <v>672.92894474465845</v>
      </c>
      <c r="L16" s="709">
        <f t="shared" si="0"/>
        <v>0</v>
      </c>
      <c r="M16" s="709">
        <f t="shared" ca="1" si="0"/>
        <v>0</v>
      </c>
      <c r="N16" s="709">
        <f t="shared" si="0"/>
        <v>0</v>
      </c>
      <c r="O16" s="709">
        <f t="shared" ca="1" si="0"/>
        <v>3918.5100175625125</v>
      </c>
      <c r="P16" s="709">
        <f t="shared" si="0"/>
        <v>54.716666666666669</v>
      </c>
      <c r="Q16" s="709">
        <f t="shared" si="0"/>
        <v>133.46666666666667</v>
      </c>
      <c r="R16" s="709">
        <f t="shared" ca="1" si="0"/>
        <v>88253.42378961519</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3.9937097266579515</v>
      </c>
      <c r="D19" s="676">
        <f>transport!C54</f>
        <v>0</v>
      </c>
      <c r="E19" s="676">
        <f>transport!D54</f>
        <v>0</v>
      </c>
      <c r="F19" s="676">
        <f>transport!E54</f>
        <v>0</v>
      </c>
      <c r="G19" s="676">
        <f>transport!F54</f>
        <v>0</v>
      </c>
      <c r="H19" s="676">
        <f>transport!G54</f>
        <v>866.39522891847901</v>
      </c>
      <c r="I19" s="676">
        <f>transport!H54</f>
        <v>0</v>
      </c>
      <c r="J19" s="676">
        <f>transport!I54</f>
        <v>0</v>
      </c>
      <c r="K19" s="676">
        <f>transport!J54</f>
        <v>0</v>
      </c>
      <c r="L19" s="676">
        <f>transport!K54</f>
        <v>0</v>
      </c>
      <c r="M19" s="676">
        <f>transport!L54</f>
        <v>0</v>
      </c>
      <c r="N19" s="676">
        <f>transport!M54</f>
        <v>37.095715662458559</v>
      </c>
      <c r="O19" s="676">
        <f>transport!N54</f>
        <v>0</v>
      </c>
      <c r="P19" s="676">
        <f>transport!O54</f>
        <v>0</v>
      </c>
      <c r="Q19" s="677">
        <f>transport!P54</f>
        <v>0</v>
      </c>
      <c r="R19" s="679">
        <f>SUM(C19:Q19)</f>
        <v>907.48465430759552</v>
      </c>
      <c r="S19" s="67"/>
    </row>
    <row r="20" spans="1:19" s="445" customFormat="1">
      <c r="A20" s="791" t="s">
        <v>302</v>
      </c>
      <c r="B20" s="796"/>
      <c r="C20" s="676">
        <f>transport!B14</f>
        <v>0.9994106311680081</v>
      </c>
      <c r="D20" s="676">
        <f>transport!C14</f>
        <v>0</v>
      </c>
      <c r="E20" s="676">
        <f>transport!D14</f>
        <v>3.1665288279338308</v>
      </c>
      <c r="F20" s="676">
        <f>transport!E14</f>
        <v>368.72083815456267</v>
      </c>
      <c r="G20" s="676">
        <f>transport!F14</f>
        <v>0</v>
      </c>
      <c r="H20" s="676">
        <f>transport!G14</f>
        <v>86202.232629323611</v>
      </c>
      <c r="I20" s="676">
        <f>transport!H14</f>
        <v>10795.017784245643</v>
      </c>
      <c r="J20" s="676">
        <f>transport!I14</f>
        <v>0</v>
      </c>
      <c r="K20" s="676">
        <f>transport!J14</f>
        <v>0</v>
      </c>
      <c r="L20" s="676">
        <f>transport!K14</f>
        <v>0</v>
      </c>
      <c r="M20" s="676">
        <f>transport!L14</f>
        <v>0</v>
      </c>
      <c r="N20" s="676">
        <f>transport!M14</f>
        <v>4210.3624314375502</v>
      </c>
      <c r="O20" s="676">
        <f>transport!N14</f>
        <v>0</v>
      </c>
      <c r="P20" s="676">
        <f>transport!O14</f>
        <v>0</v>
      </c>
      <c r="Q20" s="677">
        <f>transport!P14</f>
        <v>0</v>
      </c>
      <c r="R20" s="679">
        <f>SUM(C20:Q20)</f>
        <v>101580.49962262047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4.9931203578259593</v>
      </c>
      <c r="D22" s="794">
        <f t="shared" ref="D22:R22" si="1">SUM(D18:D21)</f>
        <v>0</v>
      </c>
      <c r="E22" s="794">
        <f t="shared" si="1"/>
        <v>3.1665288279338308</v>
      </c>
      <c r="F22" s="794">
        <f t="shared" si="1"/>
        <v>368.72083815456267</v>
      </c>
      <c r="G22" s="794">
        <f t="shared" si="1"/>
        <v>0</v>
      </c>
      <c r="H22" s="794">
        <f t="shared" si="1"/>
        <v>87068.627858242093</v>
      </c>
      <c r="I22" s="794">
        <f t="shared" si="1"/>
        <v>10795.017784245643</v>
      </c>
      <c r="J22" s="794">
        <f t="shared" si="1"/>
        <v>0</v>
      </c>
      <c r="K22" s="794">
        <f t="shared" si="1"/>
        <v>0</v>
      </c>
      <c r="L22" s="794">
        <f t="shared" si="1"/>
        <v>0</v>
      </c>
      <c r="M22" s="794">
        <f t="shared" si="1"/>
        <v>0</v>
      </c>
      <c r="N22" s="794">
        <f t="shared" si="1"/>
        <v>4247.4581471000083</v>
      </c>
      <c r="O22" s="794">
        <f t="shared" si="1"/>
        <v>0</v>
      </c>
      <c r="P22" s="794">
        <f t="shared" si="1"/>
        <v>0</v>
      </c>
      <c r="Q22" s="794">
        <f t="shared" si="1"/>
        <v>0</v>
      </c>
      <c r="R22" s="794">
        <f t="shared" si="1"/>
        <v>102487.98427692807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737.13860062185915</v>
      </c>
      <c r="D24" s="676">
        <f>+landbouw!C8</f>
        <v>0</v>
      </c>
      <c r="E24" s="676">
        <f>+landbouw!D8</f>
        <v>645.00939158100243</v>
      </c>
      <c r="F24" s="676">
        <f>+landbouw!E8</f>
        <v>7.7194750097113483</v>
      </c>
      <c r="G24" s="676">
        <f>+landbouw!F8</f>
        <v>3155.5133170430263</v>
      </c>
      <c r="H24" s="676">
        <f>+landbouw!G8</f>
        <v>0</v>
      </c>
      <c r="I24" s="676">
        <f>+landbouw!H8</f>
        <v>0</v>
      </c>
      <c r="J24" s="676">
        <f>+landbouw!I8</f>
        <v>0</v>
      </c>
      <c r="K24" s="676">
        <f>+landbouw!J8</f>
        <v>65.833084121524038</v>
      </c>
      <c r="L24" s="676">
        <f>+landbouw!K8</f>
        <v>0</v>
      </c>
      <c r="M24" s="676">
        <f>+landbouw!L8</f>
        <v>0</v>
      </c>
      <c r="N24" s="676">
        <f>+landbouw!M8</f>
        <v>0</v>
      </c>
      <c r="O24" s="676">
        <f>+landbouw!N8</f>
        <v>0</v>
      </c>
      <c r="P24" s="676">
        <f>+landbouw!O8</f>
        <v>0</v>
      </c>
      <c r="Q24" s="677">
        <f>+landbouw!P8</f>
        <v>0</v>
      </c>
      <c r="R24" s="679">
        <f>SUM(C24:Q24)</f>
        <v>4611.2138683771236</v>
      </c>
      <c r="S24" s="67"/>
    </row>
    <row r="25" spans="1:19" s="445" customFormat="1" ht="15" thickBot="1">
      <c r="A25" s="813" t="s">
        <v>895</v>
      </c>
      <c r="B25" s="968"/>
      <c r="C25" s="969">
        <f>IF(Onbekend_ele_kWh="---",0,Onbekend_ele_kWh)/1000+IF(REST_rest_ele_kWh="---",0,REST_rest_ele_kWh)/1000</f>
        <v>747.04322231582205</v>
      </c>
      <c r="D25" s="969"/>
      <c r="E25" s="969">
        <f>IF(onbekend_gas_kWh="---",0,onbekend_gas_kWh)/1000+IF(REST_rest_gas_kWh="---",0,REST_rest_gas_kWh)/1000</f>
        <v>739.29460985643493</v>
      </c>
      <c r="F25" s="969"/>
      <c r="G25" s="969"/>
      <c r="H25" s="969"/>
      <c r="I25" s="969"/>
      <c r="J25" s="969"/>
      <c r="K25" s="969"/>
      <c r="L25" s="969"/>
      <c r="M25" s="969"/>
      <c r="N25" s="969"/>
      <c r="O25" s="969"/>
      <c r="P25" s="969"/>
      <c r="Q25" s="970"/>
      <c r="R25" s="679">
        <f>SUM(C25:Q25)</f>
        <v>1486.3378321722571</v>
      </c>
      <c r="S25" s="67"/>
    </row>
    <row r="26" spans="1:19" s="445" customFormat="1" ht="15.75" thickBot="1">
      <c r="A26" s="682" t="s">
        <v>896</v>
      </c>
      <c r="B26" s="799"/>
      <c r="C26" s="794">
        <f>SUM(C24:C25)</f>
        <v>1484.1818229376813</v>
      </c>
      <c r="D26" s="794">
        <f t="shared" ref="D26:R26" si="2">SUM(D24:D25)</f>
        <v>0</v>
      </c>
      <c r="E26" s="794">
        <f t="shared" si="2"/>
        <v>1384.3040014374374</v>
      </c>
      <c r="F26" s="794">
        <f t="shared" si="2"/>
        <v>7.7194750097113483</v>
      </c>
      <c r="G26" s="794">
        <f t="shared" si="2"/>
        <v>3155.5133170430263</v>
      </c>
      <c r="H26" s="794">
        <f t="shared" si="2"/>
        <v>0</v>
      </c>
      <c r="I26" s="794">
        <f t="shared" si="2"/>
        <v>0</v>
      </c>
      <c r="J26" s="794">
        <f t="shared" si="2"/>
        <v>0</v>
      </c>
      <c r="K26" s="794">
        <f t="shared" si="2"/>
        <v>65.833084121524038</v>
      </c>
      <c r="L26" s="794">
        <f t="shared" si="2"/>
        <v>0</v>
      </c>
      <c r="M26" s="794">
        <f t="shared" si="2"/>
        <v>0</v>
      </c>
      <c r="N26" s="794">
        <f t="shared" si="2"/>
        <v>0</v>
      </c>
      <c r="O26" s="794">
        <f t="shared" si="2"/>
        <v>0</v>
      </c>
      <c r="P26" s="794">
        <f t="shared" si="2"/>
        <v>0</v>
      </c>
      <c r="Q26" s="794">
        <f t="shared" si="2"/>
        <v>0</v>
      </c>
      <c r="R26" s="794">
        <f t="shared" si="2"/>
        <v>6097.5517005493803</v>
      </c>
      <c r="S26" s="67"/>
    </row>
    <row r="27" spans="1:19" s="445" customFormat="1" ht="17.25" thickTop="1" thickBot="1">
      <c r="A27" s="683" t="s">
        <v>115</v>
      </c>
      <c r="B27" s="786"/>
      <c r="C27" s="684">
        <f ca="1">C22+C16+C26</f>
        <v>28722.835062662067</v>
      </c>
      <c r="D27" s="684">
        <f t="shared" ref="D27:R27" ca="1" si="3">D22+D16+D26</f>
        <v>0</v>
      </c>
      <c r="E27" s="684">
        <f t="shared" ca="1" si="3"/>
        <v>25091.57248719762</v>
      </c>
      <c r="F27" s="684">
        <f t="shared" si="3"/>
        <v>1489.3019753717167</v>
      </c>
      <c r="G27" s="684">
        <f t="shared" ca="1" si="3"/>
        <v>34578.691072511458</v>
      </c>
      <c r="H27" s="684">
        <f t="shared" si="3"/>
        <v>87068.627858242093</v>
      </c>
      <c r="I27" s="684">
        <f t="shared" si="3"/>
        <v>10795.017784245643</v>
      </c>
      <c r="J27" s="684">
        <f t="shared" si="3"/>
        <v>0</v>
      </c>
      <c r="K27" s="684">
        <f t="shared" si="3"/>
        <v>738.7620288661825</v>
      </c>
      <c r="L27" s="684">
        <f t="shared" si="3"/>
        <v>0</v>
      </c>
      <c r="M27" s="684">
        <f t="shared" ca="1" si="3"/>
        <v>0</v>
      </c>
      <c r="N27" s="684">
        <f t="shared" si="3"/>
        <v>4247.4581471000083</v>
      </c>
      <c r="O27" s="684">
        <f t="shared" ca="1" si="3"/>
        <v>3918.5100175625125</v>
      </c>
      <c r="P27" s="684">
        <f t="shared" si="3"/>
        <v>54.716666666666669</v>
      </c>
      <c r="Q27" s="684">
        <f t="shared" si="3"/>
        <v>133.46666666666667</v>
      </c>
      <c r="R27" s="684">
        <f t="shared" ca="1" si="3"/>
        <v>196838.95976709263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2016.5776387620585</v>
      </c>
      <c r="D40" s="676">
        <f ca="1">tertiair!C20</f>
        <v>0</v>
      </c>
      <c r="E40" s="676">
        <f ca="1">tertiair!D20</f>
        <v>1540.7221536859047</v>
      </c>
      <c r="F40" s="676">
        <f>tertiair!E20</f>
        <v>53.437869017141573</v>
      </c>
      <c r="G40" s="676">
        <f ca="1">tertiair!F20</f>
        <v>397.16047787302733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4007.8981393381323</v>
      </c>
    </row>
    <row r="41" spans="1:18">
      <c r="A41" s="804" t="s">
        <v>220</v>
      </c>
      <c r="B41" s="811"/>
      <c r="C41" s="676">
        <f ca="1">huishoudens!B12</f>
        <v>3689.9971816003731</v>
      </c>
      <c r="D41" s="676">
        <f ca="1">huishoudens!C12</f>
        <v>0</v>
      </c>
      <c r="E41" s="676">
        <f>huishoudens!D12</f>
        <v>3141.726464404207</v>
      </c>
      <c r="F41" s="676">
        <f>huishoudens!E12</f>
        <v>197.55306860423121</v>
      </c>
      <c r="G41" s="676">
        <f>huishoudens!F12</f>
        <v>7931.6109217982939</v>
      </c>
      <c r="H41" s="676">
        <f>huishoudens!G12</f>
        <v>0</v>
      </c>
      <c r="I41" s="676">
        <f>huishoudens!H12</f>
        <v>0</v>
      </c>
      <c r="J41" s="676">
        <f>huishoudens!I12</f>
        <v>0</v>
      </c>
      <c r="K41" s="676">
        <f>huishoudens!J12</f>
        <v>236.79519941114248</v>
      </c>
      <c r="L41" s="676">
        <f>huishoudens!K12</f>
        <v>0</v>
      </c>
      <c r="M41" s="676">
        <f>huishoudens!L12</f>
        <v>0</v>
      </c>
      <c r="N41" s="676">
        <f>huishoudens!M12</f>
        <v>0</v>
      </c>
      <c r="O41" s="676">
        <f>huishoudens!N12</f>
        <v>0</v>
      </c>
      <c r="P41" s="676">
        <f>huishoudens!O12</f>
        <v>0</v>
      </c>
      <c r="Q41" s="751">
        <f>huishoudens!P12</f>
        <v>0</v>
      </c>
      <c r="R41" s="832">
        <f t="shared" ca="1" si="4"/>
        <v>15197.682835818248</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137.60119684812091</v>
      </c>
      <c r="D43" s="676">
        <f ca="1">industrie!C22</f>
        <v>0</v>
      </c>
      <c r="E43" s="676">
        <f>industrie!D22</f>
        <v>105.77997721020346</v>
      </c>
      <c r="F43" s="676">
        <f>industrie!E22</f>
        <v>1.6286596997166474</v>
      </c>
      <c r="G43" s="676">
        <f>industrie!F22</f>
        <v>61.217061038751346</v>
      </c>
      <c r="H43" s="676">
        <f>industrie!G22</f>
        <v>0</v>
      </c>
      <c r="I43" s="676">
        <f>industrie!H22</f>
        <v>0</v>
      </c>
      <c r="J43" s="676">
        <f>industrie!I22</f>
        <v>0</v>
      </c>
      <c r="K43" s="676">
        <f>industrie!J22</f>
        <v>1.4216470284666107</v>
      </c>
      <c r="L43" s="676">
        <f>industrie!K22</f>
        <v>0</v>
      </c>
      <c r="M43" s="676">
        <f>industrie!L22</f>
        <v>0</v>
      </c>
      <c r="N43" s="676">
        <f>industrie!M22</f>
        <v>0</v>
      </c>
      <c r="O43" s="676">
        <f>industrie!N22</f>
        <v>0</v>
      </c>
      <c r="P43" s="676">
        <f>industrie!O22</f>
        <v>0</v>
      </c>
      <c r="Q43" s="751">
        <f>industrie!P22</f>
        <v>0</v>
      </c>
      <c r="R43" s="831">
        <f t="shared" ca="1" si="4"/>
        <v>307.64854182525897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5844.1760172105523</v>
      </c>
      <c r="D46" s="709">
        <f t="shared" ref="D46:Q46" ca="1" si="5">SUM(D39:D45)</f>
        <v>0</v>
      </c>
      <c r="E46" s="709">
        <f t="shared" ca="1" si="5"/>
        <v>4788.2285953003147</v>
      </c>
      <c r="F46" s="709">
        <f t="shared" si="5"/>
        <v>252.61959732108943</v>
      </c>
      <c r="G46" s="709">
        <f t="shared" ca="1" si="5"/>
        <v>8389.9884607100721</v>
      </c>
      <c r="H46" s="709">
        <f t="shared" si="5"/>
        <v>0</v>
      </c>
      <c r="I46" s="709">
        <f t="shared" si="5"/>
        <v>0</v>
      </c>
      <c r="J46" s="709">
        <f t="shared" si="5"/>
        <v>0</v>
      </c>
      <c r="K46" s="709">
        <f t="shared" si="5"/>
        <v>238.2168464396091</v>
      </c>
      <c r="L46" s="709">
        <f t="shared" si="5"/>
        <v>0</v>
      </c>
      <c r="M46" s="709">
        <f t="shared" ca="1" si="5"/>
        <v>0</v>
      </c>
      <c r="N46" s="709">
        <f t="shared" si="5"/>
        <v>0</v>
      </c>
      <c r="O46" s="709">
        <f t="shared" ca="1" si="5"/>
        <v>0</v>
      </c>
      <c r="P46" s="709">
        <f t="shared" si="5"/>
        <v>0</v>
      </c>
      <c r="Q46" s="709">
        <f t="shared" si="5"/>
        <v>0</v>
      </c>
      <c r="R46" s="709">
        <f ca="1">SUM(R39:R45)</f>
        <v>19513.229516981639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0.85702555227372013</v>
      </c>
      <c r="D49" s="676">
        <f ca="1">transport!C58</f>
        <v>0</v>
      </c>
      <c r="E49" s="676">
        <f>transport!D58</f>
        <v>0</v>
      </c>
      <c r="F49" s="676">
        <f>transport!E58</f>
        <v>0</v>
      </c>
      <c r="G49" s="676">
        <f>transport!F58</f>
        <v>0</v>
      </c>
      <c r="H49" s="676">
        <f>transport!G58</f>
        <v>231.32752612123392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232.18455167350763</v>
      </c>
    </row>
    <row r="50" spans="1:18">
      <c r="A50" s="807" t="s">
        <v>302</v>
      </c>
      <c r="B50" s="817"/>
      <c r="C50" s="975">
        <f ca="1">transport!B18</f>
        <v>0.21446737663674664</v>
      </c>
      <c r="D50" s="975">
        <f>transport!C18</f>
        <v>0</v>
      </c>
      <c r="E50" s="975">
        <f>transport!D18</f>
        <v>0.63963882324263388</v>
      </c>
      <c r="F50" s="975">
        <f>transport!E18</f>
        <v>83.69963026108573</v>
      </c>
      <c r="G50" s="975">
        <f>transport!F18</f>
        <v>0</v>
      </c>
      <c r="H50" s="975">
        <f>transport!G18</f>
        <v>23015.996112029407</v>
      </c>
      <c r="I50" s="975">
        <f>transport!H18</f>
        <v>2687.959428277165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25788.509276767538</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1.0714929289104669</v>
      </c>
      <c r="D52" s="709">
        <f t="shared" ref="D52:Q52" ca="1" si="6">SUM(D48:D51)</f>
        <v>0</v>
      </c>
      <c r="E52" s="709">
        <f t="shared" si="6"/>
        <v>0.63963882324263388</v>
      </c>
      <c r="F52" s="709">
        <f t="shared" si="6"/>
        <v>83.69963026108573</v>
      </c>
      <c r="G52" s="709">
        <f t="shared" si="6"/>
        <v>0</v>
      </c>
      <c r="H52" s="709">
        <f t="shared" si="6"/>
        <v>23247.323638150639</v>
      </c>
      <c r="I52" s="709">
        <f t="shared" si="6"/>
        <v>2687.959428277165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26020.693828441046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158.18541144423367</v>
      </c>
      <c r="D54" s="975">
        <f ca="1">+landbouw!C12</f>
        <v>0</v>
      </c>
      <c r="E54" s="975">
        <f>+landbouw!D12</f>
        <v>130.2918970993625</v>
      </c>
      <c r="F54" s="975">
        <f>+landbouw!E12</f>
        <v>1.7523208272044761</v>
      </c>
      <c r="G54" s="975">
        <f>+landbouw!F12</f>
        <v>842.52205565048803</v>
      </c>
      <c r="H54" s="975">
        <f>+landbouw!G12</f>
        <v>0</v>
      </c>
      <c r="I54" s="975">
        <f>+landbouw!H12</f>
        <v>0</v>
      </c>
      <c r="J54" s="975">
        <f>+landbouw!I12</f>
        <v>0</v>
      </c>
      <c r="K54" s="975">
        <f>+landbouw!J12</f>
        <v>23.304911779019509</v>
      </c>
      <c r="L54" s="975">
        <f>+landbouw!K12</f>
        <v>0</v>
      </c>
      <c r="M54" s="975">
        <f>+landbouw!L12</f>
        <v>0</v>
      </c>
      <c r="N54" s="975">
        <f>+landbouw!M12</f>
        <v>0</v>
      </c>
      <c r="O54" s="975">
        <f>+landbouw!N12</f>
        <v>0</v>
      </c>
      <c r="P54" s="975">
        <f>+landbouw!O12</f>
        <v>0</v>
      </c>
      <c r="Q54" s="976">
        <f>+landbouw!P12</f>
        <v>0</v>
      </c>
      <c r="R54" s="708">
        <f ca="1">SUM(C54:Q54)</f>
        <v>1156.0565968003082</v>
      </c>
    </row>
    <row r="55" spans="1:18" ht="15" thickBot="1">
      <c r="A55" s="807" t="s">
        <v>895</v>
      </c>
      <c r="B55" s="817"/>
      <c r="C55" s="975">
        <f ca="1">C25*'EF ele_warmte'!B12</f>
        <v>160.31088236182944</v>
      </c>
      <c r="D55" s="975"/>
      <c r="E55" s="975">
        <f>E25*EF_CO2_aardgas</f>
        <v>149.33751119099986</v>
      </c>
      <c r="F55" s="975"/>
      <c r="G55" s="975"/>
      <c r="H55" s="975"/>
      <c r="I55" s="975"/>
      <c r="J55" s="975"/>
      <c r="K55" s="975"/>
      <c r="L55" s="975"/>
      <c r="M55" s="975"/>
      <c r="N55" s="975"/>
      <c r="O55" s="975"/>
      <c r="P55" s="975"/>
      <c r="Q55" s="976"/>
      <c r="R55" s="708">
        <f ca="1">SUM(C55:Q55)</f>
        <v>309.6483935528293</v>
      </c>
    </row>
    <row r="56" spans="1:18" ht="15.75" thickBot="1">
      <c r="A56" s="805" t="s">
        <v>896</v>
      </c>
      <c r="B56" s="818"/>
      <c r="C56" s="709">
        <f ca="1">SUM(C54:C55)</f>
        <v>318.49629380606314</v>
      </c>
      <c r="D56" s="709">
        <f t="shared" ref="D56:Q56" ca="1" si="7">SUM(D54:D55)</f>
        <v>0</v>
      </c>
      <c r="E56" s="709">
        <f t="shared" si="7"/>
        <v>279.62940829036233</v>
      </c>
      <c r="F56" s="709">
        <f t="shared" si="7"/>
        <v>1.7523208272044761</v>
      </c>
      <c r="G56" s="709">
        <f t="shared" si="7"/>
        <v>842.52205565048803</v>
      </c>
      <c r="H56" s="709">
        <f t="shared" si="7"/>
        <v>0</v>
      </c>
      <c r="I56" s="709">
        <f t="shared" si="7"/>
        <v>0</v>
      </c>
      <c r="J56" s="709">
        <f t="shared" si="7"/>
        <v>0</v>
      </c>
      <c r="K56" s="709">
        <f t="shared" si="7"/>
        <v>23.304911779019509</v>
      </c>
      <c r="L56" s="709">
        <f t="shared" si="7"/>
        <v>0</v>
      </c>
      <c r="M56" s="709">
        <f t="shared" si="7"/>
        <v>0</v>
      </c>
      <c r="N56" s="709">
        <f t="shared" si="7"/>
        <v>0</v>
      </c>
      <c r="O56" s="709">
        <f t="shared" si="7"/>
        <v>0</v>
      </c>
      <c r="P56" s="709">
        <f t="shared" si="7"/>
        <v>0</v>
      </c>
      <c r="Q56" s="710">
        <f t="shared" si="7"/>
        <v>0</v>
      </c>
      <c r="R56" s="711">
        <f ca="1">SUM(R54:R55)</f>
        <v>1465.7049903531374</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6163.7438039455265</v>
      </c>
      <c r="D61" s="717">
        <f t="shared" ref="D61:Q61" ca="1" si="8">D46+D52+D56</f>
        <v>0</v>
      </c>
      <c r="E61" s="717">
        <f t="shared" ca="1" si="8"/>
        <v>5068.4976424139195</v>
      </c>
      <c r="F61" s="717">
        <f t="shared" si="8"/>
        <v>338.0715484093796</v>
      </c>
      <c r="G61" s="717">
        <f t="shared" ca="1" si="8"/>
        <v>9232.5105163605604</v>
      </c>
      <c r="H61" s="717">
        <f t="shared" si="8"/>
        <v>23247.323638150639</v>
      </c>
      <c r="I61" s="717">
        <f t="shared" si="8"/>
        <v>2687.959428277165</v>
      </c>
      <c r="J61" s="717">
        <f t="shared" si="8"/>
        <v>0</v>
      </c>
      <c r="K61" s="717">
        <f t="shared" si="8"/>
        <v>261.52175821862863</v>
      </c>
      <c r="L61" s="717">
        <f t="shared" si="8"/>
        <v>0</v>
      </c>
      <c r="M61" s="717">
        <f t="shared" ca="1" si="8"/>
        <v>0</v>
      </c>
      <c r="N61" s="717">
        <f t="shared" si="8"/>
        <v>0</v>
      </c>
      <c r="O61" s="717">
        <f t="shared" ca="1" si="8"/>
        <v>0</v>
      </c>
      <c r="P61" s="717">
        <f t="shared" si="8"/>
        <v>0</v>
      </c>
      <c r="Q61" s="717">
        <f t="shared" si="8"/>
        <v>0</v>
      </c>
      <c r="R61" s="717">
        <f ca="1">R46+R52+R56</f>
        <v>46999.628335775822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0.21459385156439578</v>
      </c>
      <c r="D63" s="761">
        <f t="shared" ca="1" si="9"/>
        <v>0</v>
      </c>
      <c r="E63" s="977">
        <f t="shared" ca="1" si="9"/>
        <v>0.20200000000000001</v>
      </c>
      <c r="F63" s="761">
        <f t="shared" si="9"/>
        <v>0.22699999999999995</v>
      </c>
      <c r="G63" s="761">
        <f t="shared" ca="1" si="9"/>
        <v>0.26700000000000002</v>
      </c>
      <c r="H63" s="761">
        <f t="shared" si="9"/>
        <v>0.26700000000000002</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832.59160589498072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832.59160589498072</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17195.260510495431</v>
      </c>
      <c r="C4" s="449">
        <f>huishoudens!C8</f>
        <v>0</v>
      </c>
      <c r="D4" s="449">
        <f>huishoudens!D8</f>
        <v>15553.101308931717</v>
      </c>
      <c r="E4" s="449">
        <f>huishoudens!E8</f>
        <v>870.27783526093049</v>
      </c>
      <c r="F4" s="449">
        <f>huishoudens!F8</f>
        <v>29706.407946810086</v>
      </c>
      <c r="G4" s="449">
        <f>huishoudens!G8</f>
        <v>0</v>
      </c>
      <c r="H4" s="449">
        <f>huishoudens!H8</f>
        <v>0</v>
      </c>
      <c r="I4" s="449">
        <f>huishoudens!I8</f>
        <v>0</v>
      </c>
      <c r="J4" s="449">
        <f>huishoudens!J8</f>
        <v>668.91299268684315</v>
      </c>
      <c r="K4" s="449">
        <f>huishoudens!K8</f>
        <v>0</v>
      </c>
      <c r="L4" s="449">
        <f>huishoudens!L8</f>
        <v>0</v>
      </c>
      <c r="M4" s="449">
        <f>huishoudens!M8</f>
        <v>0</v>
      </c>
      <c r="N4" s="449">
        <f>huishoudens!N8</f>
        <v>3701.8636489516566</v>
      </c>
      <c r="O4" s="449">
        <f>huishoudens!O8</f>
        <v>54.716666666666669</v>
      </c>
      <c r="P4" s="450">
        <f>huishoudens!P8</f>
        <v>133.46666666666667</v>
      </c>
      <c r="Q4" s="451">
        <f>SUM(B4:P4)</f>
        <v>67884.007576469987</v>
      </c>
    </row>
    <row r="5" spans="1:17">
      <c r="A5" s="448" t="s">
        <v>155</v>
      </c>
      <c r="B5" s="449">
        <f ca="1">tertiair!B16</f>
        <v>8786.4157434064182</v>
      </c>
      <c r="C5" s="449">
        <f ca="1">tertiair!C16</f>
        <v>0</v>
      </c>
      <c r="D5" s="449">
        <f ca="1">tertiair!D16</f>
        <v>7627.3373944846762</v>
      </c>
      <c r="E5" s="449">
        <f>tertiair!E16</f>
        <v>235.40911461295846</v>
      </c>
      <c r="F5" s="449">
        <f ca="1">tertiair!F16</f>
        <v>1487.492426490739</v>
      </c>
      <c r="G5" s="449">
        <f>tertiair!G16</f>
        <v>0</v>
      </c>
      <c r="H5" s="449">
        <f>tertiair!H16</f>
        <v>0</v>
      </c>
      <c r="I5" s="449">
        <f>tertiair!I16</f>
        <v>0</v>
      </c>
      <c r="J5" s="449">
        <f>tertiair!J16</f>
        <v>0</v>
      </c>
      <c r="K5" s="449">
        <f>tertiair!K16</f>
        <v>0</v>
      </c>
      <c r="L5" s="449">
        <f ca="1">tertiair!L16</f>
        <v>0</v>
      </c>
      <c r="M5" s="449">
        <f>tertiair!M16</f>
        <v>0</v>
      </c>
      <c r="N5" s="449">
        <f ca="1">tertiair!N16</f>
        <v>195.9289697454081</v>
      </c>
      <c r="O5" s="449">
        <f>tertiair!O16</f>
        <v>0</v>
      </c>
      <c r="P5" s="450">
        <f>tertiair!P16</f>
        <v>0</v>
      </c>
      <c r="Q5" s="448">
        <f t="shared" ref="Q5:Q14" ca="1" si="0">SUM(B5:P5)</f>
        <v>18332.583648740198</v>
      </c>
    </row>
    <row r="6" spans="1:17">
      <c r="A6" s="448" t="s">
        <v>193</v>
      </c>
      <c r="B6" s="449">
        <f>'openbare verlichting'!B8</f>
        <v>610.76700000000005</v>
      </c>
      <c r="C6" s="449"/>
      <c r="D6" s="449"/>
      <c r="E6" s="449"/>
      <c r="F6" s="449"/>
      <c r="G6" s="449"/>
      <c r="H6" s="449"/>
      <c r="I6" s="449"/>
      <c r="J6" s="449"/>
      <c r="K6" s="449"/>
      <c r="L6" s="449"/>
      <c r="M6" s="449"/>
      <c r="N6" s="449"/>
      <c r="O6" s="449"/>
      <c r="P6" s="450"/>
      <c r="Q6" s="448">
        <f t="shared" si="0"/>
        <v>610.76700000000005</v>
      </c>
    </row>
    <row r="7" spans="1:17">
      <c r="A7" s="448" t="s">
        <v>111</v>
      </c>
      <c r="B7" s="449">
        <f>landbouw!B8</f>
        <v>737.13860062185915</v>
      </c>
      <c r="C7" s="449">
        <f>landbouw!C8</f>
        <v>0</v>
      </c>
      <c r="D7" s="449">
        <f>landbouw!D8</f>
        <v>645.00939158100243</v>
      </c>
      <c r="E7" s="449">
        <f>landbouw!E8</f>
        <v>7.7194750097113483</v>
      </c>
      <c r="F7" s="449">
        <f>landbouw!F8</f>
        <v>3155.5133170430263</v>
      </c>
      <c r="G7" s="449">
        <f>landbouw!G8</f>
        <v>0</v>
      </c>
      <c r="H7" s="449">
        <f>landbouw!H8</f>
        <v>0</v>
      </c>
      <c r="I7" s="449">
        <f>landbouw!I8</f>
        <v>0</v>
      </c>
      <c r="J7" s="449">
        <f>landbouw!J8</f>
        <v>65.833084121524038</v>
      </c>
      <c r="K7" s="449">
        <f>landbouw!K8</f>
        <v>0</v>
      </c>
      <c r="L7" s="449">
        <f>landbouw!L8</f>
        <v>0</v>
      </c>
      <c r="M7" s="449">
        <f>landbouw!M8</f>
        <v>0</v>
      </c>
      <c r="N7" s="449">
        <f>landbouw!N8</f>
        <v>0</v>
      </c>
      <c r="O7" s="449">
        <f>landbouw!O8</f>
        <v>0</v>
      </c>
      <c r="P7" s="450">
        <f>landbouw!P8</f>
        <v>0</v>
      </c>
      <c r="Q7" s="448">
        <f t="shared" si="0"/>
        <v>4611.2138683771236</v>
      </c>
    </row>
    <row r="8" spans="1:17">
      <c r="A8" s="448" t="s">
        <v>643</v>
      </c>
      <c r="B8" s="449">
        <f>industrie!B18</f>
        <v>641.21686546470903</v>
      </c>
      <c r="C8" s="449">
        <f>industrie!C18</f>
        <v>0</v>
      </c>
      <c r="D8" s="449">
        <f>industrie!D18</f>
        <v>523.66325351585863</v>
      </c>
      <c r="E8" s="449">
        <f>industrie!E18</f>
        <v>7.1747123335535123</v>
      </c>
      <c r="F8" s="449">
        <f>industrie!F18</f>
        <v>229.27738216760804</v>
      </c>
      <c r="G8" s="449">
        <f>industrie!G18</f>
        <v>0</v>
      </c>
      <c r="H8" s="449">
        <f>industrie!H18</f>
        <v>0</v>
      </c>
      <c r="I8" s="449">
        <f>industrie!I18</f>
        <v>0</v>
      </c>
      <c r="J8" s="449">
        <f>industrie!J18</f>
        <v>4.0159520578152845</v>
      </c>
      <c r="K8" s="449">
        <f>industrie!K18</f>
        <v>0</v>
      </c>
      <c r="L8" s="449">
        <f>industrie!L18</f>
        <v>0</v>
      </c>
      <c r="M8" s="449">
        <f>industrie!M18</f>
        <v>0</v>
      </c>
      <c r="N8" s="449">
        <f>industrie!N18</f>
        <v>20.717398865447688</v>
      </c>
      <c r="O8" s="449">
        <f>industrie!O18</f>
        <v>0</v>
      </c>
      <c r="P8" s="450">
        <f>industrie!P18</f>
        <v>0</v>
      </c>
      <c r="Q8" s="448">
        <f t="shared" si="0"/>
        <v>1426.0655644049921</v>
      </c>
    </row>
    <row r="9" spans="1:17" s="454" customFormat="1">
      <c r="A9" s="452" t="s">
        <v>562</v>
      </c>
      <c r="B9" s="453">
        <f>transport!B14</f>
        <v>0.9994106311680081</v>
      </c>
      <c r="C9" s="453">
        <f>transport!C14</f>
        <v>0</v>
      </c>
      <c r="D9" s="453">
        <f>transport!D14</f>
        <v>3.1665288279338308</v>
      </c>
      <c r="E9" s="453">
        <f>transport!E14</f>
        <v>368.72083815456267</v>
      </c>
      <c r="F9" s="453">
        <f>transport!F14</f>
        <v>0</v>
      </c>
      <c r="G9" s="453">
        <f>transport!G14</f>
        <v>86202.232629323611</v>
      </c>
      <c r="H9" s="453">
        <f>transport!H14</f>
        <v>10795.017784245643</v>
      </c>
      <c r="I9" s="453">
        <f>transport!I14</f>
        <v>0</v>
      </c>
      <c r="J9" s="453">
        <f>transport!J14</f>
        <v>0</v>
      </c>
      <c r="K9" s="453">
        <f>transport!K14</f>
        <v>0</v>
      </c>
      <c r="L9" s="453">
        <f>transport!L14</f>
        <v>0</v>
      </c>
      <c r="M9" s="453">
        <f>transport!M14</f>
        <v>4210.3624314375502</v>
      </c>
      <c r="N9" s="453">
        <f>transport!N14</f>
        <v>0</v>
      </c>
      <c r="O9" s="453">
        <f>transport!O14</f>
        <v>0</v>
      </c>
      <c r="P9" s="453">
        <f>transport!P14</f>
        <v>0</v>
      </c>
      <c r="Q9" s="452">
        <f>SUM(B9:P9)</f>
        <v>101580.49962262047</v>
      </c>
    </row>
    <row r="10" spans="1:17">
      <c r="A10" s="448" t="s">
        <v>552</v>
      </c>
      <c r="B10" s="449">
        <f>transport!B54</f>
        <v>3.9937097266579515</v>
      </c>
      <c r="C10" s="449">
        <f>transport!C54</f>
        <v>0</v>
      </c>
      <c r="D10" s="449">
        <f>transport!D54</f>
        <v>0</v>
      </c>
      <c r="E10" s="449">
        <f>transport!E54</f>
        <v>0</v>
      </c>
      <c r="F10" s="449">
        <f>transport!F54</f>
        <v>0</v>
      </c>
      <c r="G10" s="449">
        <f>transport!G54</f>
        <v>866.39522891847901</v>
      </c>
      <c r="H10" s="449">
        <f>transport!H54</f>
        <v>0</v>
      </c>
      <c r="I10" s="449">
        <f>transport!I54</f>
        <v>0</v>
      </c>
      <c r="J10" s="449">
        <f>transport!J54</f>
        <v>0</v>
      </c>
      <c r="K10" s="449">
        <f>transport!K54</f>
        <v>0</v>
      </c>
      <c r="L10" s="449">
        <f>transport!L54</f>
        <v>0</v>
      </c>
      <c r="M10" s="449">
        <f>transport!M54</f>
        <v>37.095715662458559</v>
      </c>
      <c r="N10" s="449">
        <f>transport!N54</f>
        <v>0</v>
      </c>
      <c r="O10" s="449">
        <f>transport!O54</f>
        <v>0</v>
      </c>
      <c r="P10" s="450">
        <f>transport!P54</f>
        <v>0</v>
      </c>
      <c r="Q10" s="448">
        <f t="shared" si="0"/>
        <v>907.48465430759552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747.04322231582205</v>
      </c>
      <c r="C14" s="456"/>
      <c r="D14" s="456">
        <f>'SEAP template'!E25</f>
        <v>739.29460985643493</v>
      </c>
      <c r="E14" s="456"/>
      <c r="F14" s="456"/>
      <c r="G14" s="456"/>
      <c r="H14" s="456"/>
      <c r="I14" s="456"/>
      <c r="J14" s="456"/>
      <c r="K14" s="456"/>
      <c r="L14" s="456"/>
      <c r="M14" s="456"/>
      <c r="N14" s="456"/>
      <c r="O14" s="456"/>
      <c r="P14" s="457"/>
      <c r="Q14" s="448">
        <f t="shared" si="0"/>
        <v>1486.3378321722571</v>
      </c>
    </row>
    <row r="15" spans="1:17" s="461" customFormat="1">
      <c r="A15" s="458" t="s">
        <v>556</v>
      </c>
      <c r="B15" s="459">
        <f ca="1">SUM(B4:B14)</f>
        <v>28722.835062662067</v>
      </c>
      <c r="C15" s="459">
        <f t="shared" ref="C15:Q15" ca="1" si="1">SUM(C4:C14)</f>
        <v>0</v>
      </c>
      <c r="D15" s="459">
        <f t="shared" ca="1" si="1"/>
        <v>25091.57248719762</v>
      </c>
      <c r="E15" s="459">
        <f t="shared" si="1"/>
        <v>1489.3019753717167</v>
      </c>
      <c r="F15" s="459">
        <f t="shared" ca="1" si="1"/>
        <v>34578.691072511458</v>
      </c>
      <c r="G15" s="459">
        <f t="shared" si="1"/>
        <v>87068.627858242093</v>
      </c>
      <c r="H15" s="459">
        <f t="shared" si="1"/>
        <v>10795.017784245643</v>
      </c>
      <c r="I15" s="459">
        <f t="shared" si="1"/>
        <v>0</v>
      </c>
      <c r="J15" s="459">
        <f t="shared" si="1"/>
        <v>738.7620288661825</v>
      </c>
      <c r="K15" s="459">
        <f t="shared" si="1"/>
        <v>0</v>
      </c>
      <c r="L15" s="459">
        <f t="shared" ca="1" si="1"/>
        <v>0</v>
      </c>
      <c r="M15" s="459">
        <f t="shared" si="1"/>
        <v>4247.4581471000083</v>
      </c>
      <c r="N15" s="459">
        <f t="shared" ca="1" si="1"/>
        <v>3918.5100175625125</v>
      </c>
      <c r="O15" s="459">
        <f t="shared" si="1"/>
        <v>54.716666666666669</v>
      </c>
      <c r="P15" s="459">
        <f t="shared" si="1"/>
        <v>133.46666666666667</v>
      </c>
      <c r="Q15" s="459">
        <f t="shared" ca="1" si="1"/>
        <v>196838.95976709263</v>
      </c>
    </row>
    <row r="17" spans="1:17">
      <c r="A17" s="462" t="s">
        <v>557</v>
      </c>
      <c r="B17" s="766">
        <f ca="1">huishoudens!B10</f>
        <v>0.21459385156439578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3689.9971816003731</v>
      </c>
      <c r="C22" s="449">
        <f t="shared" ref="C22:C32" ca="1" si="3">C4*$C$17</f>
        <v>0</v>
      </c>
      <c r="D22" s="449">
        <f t="shared" ref="D22:D32" si="4">D4*$D$17</f>
        <v>3141.726464404207</v>
      </c>
      <c r="E22" s="449">
        <f t="shared" ref="E22:E32" si="5">E4*$E$17</f>
        <v>197.55306860423121</v>
      </c>
      <c r="F22" s="449">
        <f t="shared" ref="F22:F32" si="6">F4*$F$17</f>
        <v>7931.6109217982939</v>
      </c>
      <c r="G22" s="449">
        <f t="shared" ref="G22:G32" si="7">G4*$G$17</f>
        <v>0</v>
      </c>
      <c r="H22" s="449">
        <f t="shared" ref="H22:H32" si="8">H4*$H$17</f>
        <v>0</v>
      </c>
      <c r="I22" s="449">
        <f t="shared" ref="I22:I32" si="9">I4*$I$17</f>
        <v>0</v>
      </c>
      <c r="J22" s="449">
        <f t="shared" ref="J22:J32" si="10">J4*$J$17</f>
        <v>236.79519941114248</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15197.682835818248</v>
      </c>
    </row>
    <row r="23" spans="1:17">
      <c r="A23" s="448" t="s">
        <v>155</v>
      </c>
      <c r="B23" s="449">
        <f t="shared" ca="1" si="2"/>
        <v>1885.5107958236272</v>
      </c>
      <c r="C23" s="449">
        <f t="shared" ca="1" si="3"/>
        <v>0</v>
      </c>
      <c r="D23" s="449">
        <f t="shared" ca="1" si="4"/>
        <v>1540.7221536859047</v>
      </c>
      <c r="E23" s="449">
        <f t="shared" si="5"/>
        <v>53.437869017141573</v>
      </c>
      <c r="F23" s="449">
        <f t="shared" ca="1" si="6"/>
        <v>397.16047787302733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3876.8312963997009</v>
      </c>
    </row>
    <row r="24" spans="1:17">
      <c r="A24" s="448" t="s">
        <v>193</v>
      </c>
      <c r="B24" s="449">
        <f t="shared" ca="1" si="2"/>
        <v>131.06684293843134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131.06684293843134</v>
      </c>
    </row>
    <row r="25" spans="1:17">
      <c r="A25" s="448" t="s">
        <v>111</v>
      </c>
      <c r="B25" s="449">
        <f t="shared" ca="1" si="2"/>
        <v>158.18541144423367</v>
      </c>
      <c r="C25" s="449">
        <f t="shared" ca="1" si="3"/>
        <v>0</v>
      </c>
      <c r="D25" s="449">
        <f t="shared" si="4"/>
        <v>130.2918970993625</v>
      </c>
      <c r="E25" s="449">
        <f t="shared" si="5"/>
        <v>1.7523208272044761</v>
      </c>
      <c r="F25" s="449">
        <f t="shared" si="6"/>
        <v>842.52205565048803</v>
      </c>
      <c r="G25" s="449">
        <f t="shared" si="7"/>
        <v>0</v>
      </c>
      <c r="H25" s="449">
        <f t="shared" si="8"/>
        <v>0</v>
      </c>
      <c r="I25" s="449">
        <f t="shared" si="9"/>
        <v>0</v>
      </c>
      <c r="J25" s="449">
        <f t="shared" si="10"/>
        <v>23.304911779019509</v>
      </c>
      <c r="K25" s="449">
        <f t="shared" si="11"/>
        <v>0</v>
      </c>
      <c r="L25" s="449">
        <f t="shared" si="12"/>
        <v>0</v>
      </c>
      <c r="M25" s="449">
        <f t="shared" si="13"/>
        <v>0</v>
      </c>
      <c r="N25" s="449">
        <f t="shared" si="14"/>
        <v>0</v>
      </c>
      <c r="O25" s="449">
        <f t="shared" si="15"/>
        <v>0</v>
      </c>
      <c r="P25" s="450">
        <f t="shared" si="16"/>
        <v>0</v>
      </c>
      <c r="Q25" s="448">
        <f t="shared" ca="1" si="17"/>
        <v>1156.0565968003082</v>
      </c>
    </row>
    <row r="26" spans="1:17">
      <c r="A26" s="448" t="s">
        <v>643</v>
      </c>
      <c r="B26" s="449">
        <f t="shared" ca="1" si="2"/>
        <v>137.60119684812091</v>
      </c>
      <c r="C26" s="449">
        <f t="shared" ca="1" si="3"/>
        <v>0</v>
      </c>
      <c r="D26" s="449">
        <f t="shared" si="4"/>
        <v>105.77997721020346</v>
      </c>
      <c r="E26" s="449">
        <f t="shared" si="5"/>
        <v>1.6286596997166474</v>
      </c>
      <c r="F26" s="449">
        <f t="shared" si="6"/>
        <v>61.217061038751346</v>
      </c>
      <c r="G26" s="449">
        <f t="shared" si="7"/>
        <v>0</v>
      </c>
      <c r="H26" s="449">
        <f t="shared" si="8"/>
        <v>0</v>
      </c>
      <c r="I26" s="449">
        <f t="shared" si="9"/>
        <v>0</v>
      </c>
      <c r="J26" s="449">
        <f t="shared" si="10"/>
        <v>1.4216470284666107</v>
      </c>
      <c r="K26" s="449">
        <f t="shared" si="11"/>
        <v>0</v>
      </c>
      <c r="L26" s="449">
        <f t="shared" si="12"/>
        <v>0</v>
      </c>
      <c r="M26" s="449">
        <f t="shared" si="13"/>
        <v>0</v>
      </c>
      <c r="N26" s="449">
        <f t="shared" si="14"/>
        <v>0</v>
      </c>
      <c r="O26" s="449">
        <f t="shared" si="15"/>
        <v>0</v>
      </c>
      <c r="P26" s="450">
        <f t="shared" si="16"/>
        <v>0</v>
      </c>
      <c r="Q26" s="448">
        <f t="shared" ca="1" si="17"/>
        <v>307.64854182525897</v>
      </c>
    </row>
    <row r="27" spans="1:17" s="454" customFormat="1">
      <c r="A27" s="452" t="s">
        <v>562</v>
      </c>
      <c r="B27" s="760">
        <f t="shared" ca="1" si="2"/>
        <v>0.21446737663674664</v>
      </c>
      <c r="C27" s="453">
        <f t="shared" ca="1" si="3"/>
        <v>0</v>
      </c>
      <c r="D27" s="453">
        <f t="shared" si="4"/>
        <v>0.63963882324263388</v>
      </c>
      <c r="E27" s="453">
        <f t="shared" si="5"/>
        <v>83.69963026108573</v>
      </c>
      <c r="F27" s="453">
        <f t="shared" si="6"/>
        <v>0</v>
      </c>
      <c r="G27" s="453">
        <f t="shared" si="7"/>
        <v>23015.996112029407</v>
      </c>
      <c r="H27" s="453">
        <f t="shared" si="8"/>
        <v>2687.959428277165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25788.509276767538</v>
      </c>
    </row>
    <row r="28" spans="1:17">
      <c r="A28" s="448" t="s">
        <v>552</v>
      </c>
      <c r="B28" s="449">
        <f t="shared" ca="1" si="2"/>
        <v>0.85702555227372013</v>
      </c>
      <c r="C28" s="449">
        <f t="shared" ca="1" si="3"/>
        <v>0</v>
      </c>
      <c r="D28" s="449">
        <f t="shared" si="4"/>
        <v>0</v>
      </c>
      <c r="E28" s="449">
        <f t="shared" si="5"/>
        <v>0</v>
      </c>
      <c r="F28" s="449">
        <f t="shared" si="6"/>
        <v>0</v>
      </c>
      <c r="G28" s="449">
        <f t="shared" si="7"/>
        <v>231.32752612123392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232.18455167350763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160.31088236182944</v>
      </c>
      <c r="C32" s="449">
        <f t="shared" ca="1" si="3"/>
        <v>0</v>
      </c>
      <c r="D32" s="449">
        <f t="shared" si="4"/>
        <v>149.33751119099986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309.6483935528293</v>
      </c>
    </row>
    <row r="33" spans="1:17" s="461" customFormat="1">
      <c r="A33" s="458" t="s">
        <v>556</v>
      </c>
      <c r="B33" s="459">
        <f ca="1">SUM(B22:B32)</f>
        <v>6163.7438039455265</v>
      </c>
      <c r="C33" s="459">
        <f t="shared" ref="C33:Q33" ca="1" si="19">SUM(C22:C32)</f>
        <v>0</v>
      </c>
      <c r="D33" s="459">
        <f t="shared" ca="1" si="19"/>
        <v>5068.4976424139195</v>
      </c>
      <c r="E33" s="459">
        <f t="shared" si="19"/>
        <v>338.0715484093796</v>
      </c>
      <c r="F33" s="459">
        <f t="shared" ca="1" si="19"/>
        <v>9232.5105163605604</v>
      </c>
      <c r="G33" s="459">
        <f t="shared" si="19"/>
        <v>23247.323638150639</v>
      </c>
      <c r="H33" s="459">
        <f t="shared" si="19"/>
        <v>2687.959428277165</v>
      </c>
      <c r="I33" s="459">
        <f t="shared" si="19"/>
        <v>0</v>
      </c>
      <c r="J33" s="459">
        <f t="shared" si="19"/>
        <v>261.52175821862863</v>
      </c>
      <c r="K33" s="459">
        <f t="shared" si="19"/>
        <v>0</v>
      </c>
      <c r="L33" s="459">
        <f t="shared" ca="1" si="19"/>
        <v>0</v>
      </c>
      <c r="M33" s="459">
        <f t="shared" si="19"/>
        <v>0</v>
      </c>
      <c r="N33" s="459">
        <f t="shared" ca="1" si="19"/>
        <v>0</v>
      </c>
      <c r="O33" s="459">
        <f t="shared" si="19"/>
        <v>0</v>
      </c>
      <c r="P33" s="459">
        <f t="shared" si="19"/>
        <v>0</v>
      </c>
      <c r="Q33" s="459">
        <f t="shared" ca="1" si="19"/>
        <v>46999.628335775815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832.59160589498072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832.59160589498072</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0.21459385156439578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0.21459385156439578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0.21459385156439578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0.21459385156439578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2893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1905</v>
      </c>
      <c r="C14" s="326"/>
      <c r="D14" s="326"/>
      <c r="E14" s="326"/>
      <c r="F14" s="326"/>
    </row>
    <row r="15" spans="1:6">
      <c r="A15" s="1282" t="s">
        <v>183</v>
      </c>
      <c r="B15" s="1283">
        <v>11</v>
      </c>
      <c r="C15" s="326"/>
      <c r="D15" s="326"/>
      <c r="E15" s="326"/>
      <c r="F15" s="326"/>
    </row>
    <row r="16" spans="1:6">
      <c r="A16" s="1282" t="s">
        <v>6</v>
      </c>
      <c r="B16" s="1283">
        <v>499</v>
      </c>
      <c r="C16" s="326"/>
      <c r="D16" s="326"/>
      <c r="E16" s="326"/>
      <c r="F16" s="326"/>
    </row>
    <row r="17" spans="1:6">
      <c r="A17" s="1282" t="s">
        <v>7</v>
      </c>
      <c r="B17" s="1283">
        <v>559</v>
      </c>
      <c r="C17" s="326"/>
      <c r="D17" s="326"/>
      <c r="E17" s="326"/>
      <c r="F17" s="326"/>
    </row>
    <row r="18" spans="1:6">
      <c r="A18" s="1282" t="s">
        <v>8</v>
      </c>
      <c r="B18" s="1283">
        <v>877</v>
      </c>
      <c r="C18" s="326"/>
      <c r="D18" s="326"/>
      <c r="E18" s="326"/>
      <c r="F18" s="326"/>
    </row>
    <row r="19" spans="1:6">
      <c r="A19" s="1282" t="s">
        <v>9</v>
      </c>
      <c r="B19" s="1283">
        <v>906</v>
      </c>
      <c r="C19" s="326"/>
      <c r="D19" s="326"/>
      <c r="E19" s="326"/>
      <c r="F19" s="326"/>
    </row>
    <row r="20" spans="1:6">
      <c r="A20" s="1282" t="s">
        <v>10</v>
      </c>
      <c r="B20" s="1283">
        <v>1061</v>
      </c>
      <c r="C20" s="326"/>
      <c r="D20" s="326"/>
      <c r="E20" s="326"/>
      <c r="F20" s="326"/>
    </row>
    <row r="21" spans="1:6">
      <c r="A21" s="1282" t="s">
        <v>11</v>
      </c>
      <c r="B21" s="1283">
        <v>0</v>
      </c>
      <c r="C21" s="326"/>
      <c r="D21" s="326"/>
      <c r="E21" s="326"/>
      <c r="F21" s="326"/>
    </row>
    <row r="22" spans="1:6">
      <c r="A22" s="1282" t="s">
        <v>12</v>
      </c>
      <c r="B22" s="1283">
        <v>623</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2</v>
      </c>
      <c r="C25" s="326"/>
      <c r="D25" s="326"/>
      <c r="E25" s="326"/>
      <c r="F25" s="326"/>
    </row>
    <row r="26" spans="1:6">
      <c r="A26" s="1282" t="s">
        <v>16</v>
      </c>
      <c r="B26" s="1283">
        <v>112</v>
      </c>
      <c r="C26" s="326"/>
      <c r="D26" s="326"/>
      <c r="E26" s="326"/>
      <c r="F26" s="326"/>
    </row>
    <row r="27" spans="1:6">
      <c r="A27" s="1282" t="s">
        <v>17</v>
      </c>
      <c r="B27" s="1283">
        <v>39</v>
      </c>
      <c r="C27" s="326"/>
      <c r="D27" s="326"/>
      <c r="E27" s="326"/>
      <c r="F27" s="326"/>
    </row>
    <row r="28" spans="1:6" s="43" customFormat="1">
      <c r="A28" s="1284" t="s">
        <v>18</v>
      </c>
      <c r="B28" s="1285">
        <v>178</v>
      </c>
      <c r="C28" s="332"/>
      <c r="D28" s="332"/>
      <c r="E28" s="332"/>
      <c r="F28" s="332"/>
    </row>
    <row r="29" spans="1:6">
      <c r="A29" s="1284" t="s">
        <v>978</v>
      </c>
      <c r="B29" s="1285">
        <v>50</v>
      </c>
      <c r="C29" s="332"/>
      <c r="D29" s="332"/>
      <c r="E29" s="332"/>
      <c r="F29" s="332"/>
    </row>
    <row r="30" spans="1:6">
      <c r="A30" s="1277" t="s">
        <v>979</v>
      </c>
      <c r="B30" s="1286">
        <v>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1</v>
      </c>
      <c r="F38" s="1283">
        <v>3392.3376594986998</v>
      </c>
    </row>
    <row r="39" spans="1:6">
      <c r="A39" s="1282" t="s">
        <v>29</v>
      </c>
      <c r="B39" s="1282" t="s">
        <v>30</v>
      </c>
      <c r="C39" s="1283">
        <v>1140</v>
      </c>
      <c r="D39" s="1283">
        <v>17242906.107463099</v>
      </c>
      <c r="E39" s="1283">
        <v>2802</v>
      </c>
      <c r="F39" s="1283">
        <v>16569965.8048025</v>
      </c>
    </row>
    <row r="40" spans="1:6">
      <c r="A40" s="1282" t="s">
        <v>29</v>
      </c>
      <c r="B40" s="1282" t="s">
        <v>28</v>
      </c>
      <c r="C40" s="1283">
        <v>0</v>
      </c>
      <c r="D40" s="1283">
        <v>0</v>
      </c>
      <c r="E40" s="1283">
        <v>0</v>
      </c>
      <c r="F40" s="1283">
        <v>0</v>
      </c>
    </row>
    <row r="41" spans="1:6">
      <c r="A41" s="1282" t="s">
        <v>31</v>
      </c>
      <c r="B41" s="1282" t="s">
        <v>32</v>
      </c>
      <c r="C41" s="1283">
        <v>3</v>
      </c>
      <c r="D41" s="1283">
        <v>101844.42162905401</v>
      </c>
      <c r="E41" s="1283">
        <v>36</v>
      </c>
      <c r="F41" s="1283">
        <v>205864.63840038399</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11</v>
      </c>
      <c r="D44" s="1283">
        <v>239160.42499331199</v>
      </c>
      <c r="E44" s="1283">
        <v>11</v>
      </c>
      <c r="F44" s="1283">
        <v>116588.465880013</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9</v>
      </c>
      <c r="D48" s="1283">
        <v>239553.08410475001</v>
      </c>
      <c r="E48" s="1283">
        <v>18</v>
      </c>
      <c r="F48" s="1283">
        <v>106718.0721853</v>
      </c>
    </row>
    <row r="49" spans="1:6">
      <c r="A49" s="1282" t="s">
        <v>31</v>
      </c>
      <c r="B49" s="1282" t="s">
        <v>39</v>
      </c>
      <c r="C49" s="1283">
        <v>0</v>
      </c>
      <c r="D49" s="1283">
        <v>0</v>
      </c>
      <c r="E49" s="1283">
        <v>0</v>
      </c>
      <c r="F49" s="1283">
        <v>0</v>
      </c>
    </row>
    <row r="50" spans="1:6">
      <c r="A50" s="1282" t="s">
        <v>31</v>
      </c>
      <c r="B50" s="1282" t="s">
        <v>40</v>
      </c>
      <c r="C50" s="1283">
        <v>0</v>
      </c>
      <c r="D50" s="1283">
        <v>0</v>
      </c>
      <c r="E50" s="1283">
        <v>3</v>
      </c>
      <c r="F50" s="1283">
        <v>212045.688999012</v>
      </c>
    </row>
    <row r="51" spans="1:6">
      <c r="A51" s="1282" t="s">
        <v>41</v>
      </c>
      <c r="B51" s="1282" t="s">
        <v>42</v>
      </c>
      <c r="C51" s="1283">
        <v>5</v>
      </c>
      <c r="D51" s="1283">
        <v>85572.256074877703</v>
      </c>
      <c r="E51" s="1283">
        <v>49</v>
      </c>
      <c r="F51" s="1283">
        <v>641979.08493601996</v>
      </c>
    </row>
    <row r="52" spans="1:6">
      <c r="A52" s="1282" t="s">
        <v>41</v>
      </c>
      <c r="B52" s="1282" t="s">
        <v>28</v>
      </c>
      <c r="C52" s="1283">
        <v>6</v>
      </c>
      <c r="D52" s="1283">
        <v>629515.76119896094</v>
      </c>
      <c r="E52" s="1283">
        <v>8</v>
      </c>
      <c r="F52" s="1283">
        <v>95159.5156858392</v>
      </c>
    </row>
    <row r="53" spans="1:6">
      <c r="A53" s="1282" t="s">
        <v>43</v>
      </c>
      <c r="B53" s="1282" t="s">
        <v>44</v>
      </c>
      <c r="C53" s="1283">
        <v>44</v>
      </c>
      <c r="D53" s="1283">
        <v>739294.60985643498</v>
      </c>
      <c r="E53" s="1283">
        <v>108</v>
      </c>
      <c r="F53" s="1283">
        <v>747043.22231582203</v>
      </c>
    </row>
    <row r="54" spans="1:6">
      <c r="A54" s="1282" t="s">
        <v>45</v>
      </c>
      <c r="B54" s="1282" t="s">
        <v>46</v>
      </c>
      <c r="C54" s="1283">
        <v>0</v>
      </c>
      <c r="D54" s="1283">
        <v>0</v>
      </c>
      <c r="E54" s="1283">
        <v>1</v>
      </c>
      <c r="F54" s="1283">
        <v>610767</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9</v>
      </c>
      <c r="D57" s="1283">
        <v>338263.43521676102</v>
      </c>
      <c r="E57" s="1283">
        <v>38</v>
      </c>
      <c r="F57" s="1283">
        <v>473608.63011472498</v>
      </c>
    </row>
    <row r="58" spans="1:6">
      <c r="A58" s="1282" t="s">
        <v>48</v>
      </c>
      <c r="B58" s="1282" t="s">
        <v>50</v>
      </c>
      <c r="C58" s="1283">
        <v>0</v>
      </c>
      <c r="D58" s="1283">
        <v>0</v>
      </c>
      <c r="E58" s="1283">
        <v>0</v>
      </c>
      <c r="F58" s="1283">
        <v>0</v>
      </c>
    </row>
    <row r="59" spans="1:6">
      <c r="A59" s="1282" t="s">
        <v>48</v>
      </c>
      <c r="B59" s="1282" t="s">
        <v>51</v>
      </c>
      <c r="C59" s="1283">
        <v>3</v>
      </c>
      <c r="D59" s="1283">
        <v>84504.304577095507</v>
      </c>
      <c r="E59" s="1283">
        <v>49</v>
      </c>
      <c r="F59" s="1283">
        <v>1534217.3494631599</v>
      </c>
    </row>
    <row r="60" spans="1:6">
      <c r="A60" s="1282" t="s">
        <v>48</v>
      </c>
      <c r="B60" s="1282" t="s">
        <v>52</v>
      </c>
      <c r="C60" s="1283">
        <v>10</v>
      </c>
      <c r="D60" s="1283">
        <v>551399.08681756596</v>
      </c>
      <c r="E60" s="1283">
        <v>19</v>
      </c>
      <c r="F60" s="1283">
        <v>580711.45778412395</v>
      </c>
    </row>
    <row r="61" spans="1:6">
      <c r="A61" s="1282" t="s">
        <v>48</v>
      </c>
      <c r="B61" s="1282" t="s">
        <v>53</v>
      </c>
      <c r="C61" s="1283">
        <v>17</v>
      </c>
      <c r="D61" s="1283">
        <v>5703754.11805843</v>
      </c>
      <c r="E61" s="1283">
        <v>83</v>
      </c>
      <c r="F61" s="1283">
        <v>4349038.4143360602</v>
      </c>
    </row>
    <row r="62" spans="1:6">
      <c r="A62" s="1282" t="s">
        <v>48</v>
      </c>
      <c r="B62" s="1282" t="s">
        <v>54</v>
      </c>
      <c r="C62" s="1283">
        <v>0</v>
      </c>
      <c r="D62" s="1283">
        <v>0</v>
      </c>
      <c r="E62" s="1283">
        <v>0</v>
      </c>
      <c r="F62" s="1283">
        <v>0</v>
      </c>
    </row>
    <row r="63" spans="1:6">
      <c r="A63" s="1282" t="s">
        <v>48</v>
      </c>
      <c r="B63" s="1282" t="s">
        <v>28</v>
      </c>
      <c r="C63" s="1283">
        <v>42</v>
      </c>
      <c r="D63" s="1283">
        <v>1778107.2088608299</v>
      </c>
      <c r="E63" s="1283">
        <v>90</v>
      </c>
      <c r="F63" s="1283">
        <v>1848839.89170835</v>
      </c>
    </row>
    <row r="64" spans="1:6">
      <c r="A64" s="1282" t="s">
        <v>55</v>
      </c>
      <c r="B64" s="1282" t="s">
        <v>56</v>
      </c>
      <c r="C64" s="1283">
        <v>0</v>
      </c>
      <c r="D64" s="1283">
        <v>0</v>
      </c>
      <c r="E64" s="1283">
        <v>0</v>
      </c>
      <c r="F64" s="1283">
        <v>0</v>
      </c>
    </row>
    <row r="65" spans="1:6">
      <c r="A65" s="1282" t="s">
        <v>55</v>
      </c>
      <c r="B65" s="1282" t="s">
        <v>28</v>
      </c>
      <c r="C65" s="1283">
        <v>0</v>
      </c>
      <c r="D65" s="1283">
        <v>0</v>
      </c>
      <c r="E65" s="1283">
        <v>2</v>
      </c>
      <c r="F65" s="1283">
        <v>38947.412309614097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4</v>
      </c>
      <c r="F68" s="1286">
        <v>23235.3954092165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17701652</v>
      </c>
      <c r="E73" s="447"/>
      <c r="F73" s="326"/>
    </row>
    <row r="74" spans="1:6">
      <c r="A74" s="1282" t="s">
        <v>63</v>
      </c>
      <c r="B74" s="1282" t="s">
        <v>760</v>
      </c>
      <c r="C74" s="1296" t="s">
        <v>761</v>
      </c>
      <c r="D74" s="1297">
        <v>1617767.2409465807</v>
      </c>
      <c r="E74" s="447"/>
      <c r="F74" s="326"/>
    </row>
    <row r="75" spans="1:6">
      <c r="A75" s="1282" t="s">
        <v>64</v>
      </c>
      <c r="B75" s="1282" t="s">
        <v>758</v>
      </c>
      <c r="C75" s="1296" t="s">
        <v>762</v>
      </c>
      <c r="D75" s="1297">
        <v>13395539</v>
      </c>
      <c r="E75" s="447"/>
      <c r="F75" s="326"/>
    </row>
    <row r="76" spans="1:6">
      <c r="A76" s="1282" t="s">
        <v>64</v>
      </c>
      <c r="B76" s="1282" t="s">
        <v>760</v>
      </c>
      <c r="C76" s="1296" t="s">
        <v>763</v>
      </c>
      <c r="D76" s="1297">
        <v>225870.24094658071</v>
      </c>
      <c r="E76" s="447"/>
      <c r="F76" s="326"/>
    </row>
    <row r="77" spans="1:6">
      <c r="A77" s="1282" t="s">
        <v>65</v>
      </c>
      <c r="B77" s="1282" t="s">
        <v>758</v>
      </c>
      <c r="C77" s="1296" t="s">
        <v>764</v>
      </c>
      <c r="D77" s="1297">
        <v>55062575</v>
      </c>
      <c r="E77" s="447"/>
      <c r="F77" s="326"/>
    </row>
    <row r="78" spans="1:6">
      <c r="A78" s="1277" t="s">
        <v>65</v>
      </c>
      <c r="B78" s="1277" t="s">
        <v>760</v>
      </c>
      <c r="C78" s="1277" t="s">
        <v>765</v>
      </c>
      <c r="D78" s="1298">
        <v>13721125</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237627.5181068386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625.29470569293096</v>
      </c>
      <c r="C91" s="326"/>
      <c r="D91" s="326"/>
      <c r="E91" s="326"/>
      <c r="F91" s="326"/>
    </row>
    <row r="92" spans="1:6">
      <c r="A92" s="1277" t="s">
        <v>68</v>
      </c>
      <c r="B92" s="1278">
        <v>207.29690020204978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421</v>
      </c>
      <c r="C97" s="326"/>
      <c r="D97" s="326"/>
      <c r="E97" s="326"/>
      <c r="F97" s="326"/>
    </row>
    <row r="98" spans="1:6">
      <c r="A98" s="1282" t="s">
        <v>71</v>
      </c>
      <c r="B98" s="1283">
        <v>1</v>
      </c>
      <c r="C98" s="326"/>
      <c r="D98" s="326"/>
      <c r="E98" s="326"/>
      <c r="F98" s="326"/>
    </row>
    <row r="99" spans="1:6">
      <c r="A99" s="1282" t="s">
        <v>72</v>
      </c>
      <c r="B99" s="1283">
        <v>53</v>
      </c>
      <c r="C99" s="326"/>
      <c r="D99" s="326"/>
      <c r="E99" s="326"/>
      <c r="F99" s="326"/>
    </row>
    <row r="100" spans="1:6">
      <c r="A100" s="1282" t="s">
        <v>73</v>
      </c>
      <c r="B100" s="1283">
        <v>643</v>
      </c>
      <c r="C100" s="326"/>
      <c r="D100" s="326"/>
      <c r="E100" s="326"/>
      <c r="F100" s="326"/>
    </row>
    <row r="101" spans="1:6">
      <c r="A101" s="1282" t="s">
        <v>74</v>
      </c>
      <c r="B101" s="1283">
        <v>51</v>
      </c>
      <c r="C101" s="326"/>
      <c r="D101" s="326"/>
      <c r="E101" s="326"/>
      <c r="F101" s="326"/>
    </row>
    <row r="102" spans="1:6">
      <c r="A102" s="1282" t="s">
        <v>75</v>
      </c>
      <c r="B102" s="1283">
        <v>57</v>
      </c>
      <c r="C102" s="326"/>
      <c r="D102" s="326"/>
      <c r="E102" s="326"/>
      <c r="F102" s="326"/>
    </row>
    <row r="103" spans="1:6">
      <c r="A103" s="1282" t="s">
        <v>76</v>
      </c>
      <c r="B103" s="1283">
        <v>123</v>
      </c>
      <c r="C103" s="326"/>
      <c r="D103" s="326"/>
      <c r="E103" s="326"/>
      <c r="F103" s="326"/>
    </row>
    <row r="104" spans="1:6">
      <c r="A104" s="1282" t="s">
        <v>77</v>
      </c>
      <c r="B104" s="1283">
        <v>1209</v>
      </c>
      <c r="C104" s="326"/>
      <c r="D104" s="326"/>
      <c r="E104" s="326"/>
      <c r="F104" s="326"/>
    </row>
    <row r="105" spans="1:6">
      <c r="A105" s="1277" t="s">
        <v>78</v>
      </c>
      <c r="B105" s="128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6</v>
      </c>
      <c r="C123" s="1283">
        <v>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33</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1</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28722.835062662067</v>
      </c>
      <c r="C3" s="43" t="s">
        <v>169</v>
      </c>
      <c r="D3" s="43"/>
      <c r="E3" s="156"/>
      <c r="F3" s="43"/>
      <c r="G3" s="43"/>
      <c r="H3" s="43"/>
      <c r="I3" s="43"/>
      <c r="J3" s="43"/>
      <c r="K3" s="96"/>
    </row>
    <row r="4" spans="1:11">
      <c r="A4" s="354" t="s">
        <v>170</v>
      </c>
      <c r="B4" s="49">
        <f>IF(ISERROR('SEAP template'!B78+'SEAP template'!C78),0,'SEAP template'!B78+'SEAP template'!C78)</f>
        <v>832.59160589498072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0.21459385156439578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610.76700000000005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610.76700000000005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0.21459385156439578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131.06684293843134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16569.965804802501</v>
      </c>
      <c r="C5" s="17">
        <f>IF(ISERROR('Eigen informatie GS &amp; warmtenet'!B57),0,'Eigen informatie GS &amp; warmtenet'!B57)</f>
        <v>0</v>
      </c>
      <c r="D5" s="30">
        <f>(SUM(HH_hh_gas_kWh,HH_rest_gas_kWh)/1000)*0.902</f>
        <v>15553.101308931717</v>
      </c>
      <c r="E5" s="17">
        <f>B32*B41</f>
        <v>870.27783526093049</v>
      </c>
      <c r="F5" s="17">
        <f>B36*B45</f>
        <v>29706.407946810086</v>
      </c>
      <c r="G5" s="18"/>
      <c r="H5" s="17"/>
      <c r="I5" s="17"/>
      <c r="J5" s="17">
        <f>B35*B44+C35*C44</f>
        <v>668.91299268684315</v>
      </c>
      <c r="K5" s="17"/>
      <c r="L5" s="17"/>
      <c r="M5" s="17"/>
      <c r="N5" s="17">
        <f>B34*B43+C34*C43</f>
        <v>3701.8636489516566</v>
      </c>
      <c r="O5" s="17">
        <f>B52*B53*B54</f>
        <v>54.716666666666669</v>
      </c>
      <c r="P5" s="17">
        <f>B60*B61*B62/1000-B60*B61*B62/1000/B63</f>
        <v>133.46666666666667</v>
      </c>
    </row>
    <row r="6" spans="1:16">
      <c r="A6" s="16" t="s">
        <v>621</v>
      </c>
      <c r="B6" s="768">
        <f>kWh_PV_kleiner_dan_10kW</f>
        <v>625.29470569293096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17195.260510495431</v>
      </c>
      <c r="C8" s="21">
        <f>C5</f>
        <v>0</v>
      </c>
      <c r="D8" s="21">
        <f>D5</f>
        <v>15553.101308931717</v>
      </c>
      <c r="E8" s="21">
        <f>E5</f>
        <v>870.27783526093049</v>
      </c>
      <c r="F8" s="21">
        <f>F5</f>
        <v>29706.407946810086</v>
      </c>
      <c r="G8" s="21"/>
      <c r="H8" s="21"/>
      <c r="I8" s="21"/>
      <c r="J8" s="21">
        <f>J5</f>
        <v>668.91299268684315</v>
      </c>
      <c r="K8" s="21"/>
      <c r="L8" s="21">
        <f>L5</f>
        <v>0</v>
      </c>
      <c r="M8" s="21">
        <f>M5</f>
        <v>0</v>
      </c>
      <c r="N8" s="21">
        <f>N5</f>
        <v>3701.8636489516566</v>
      </c>
      <c r="O8" s="21">
        <f>O5</f>
        <v>54.716666666666669</v>
      </c>
      <c r="P8" s="21">
        <f>P5</f>
        <v>133.46666666666667</v>
      </c>
    </row>
    <row r="9" spans="1:16">
      <c r="B9" s="19"/>
      <c r="C9" s="19"/>
      <c r="D9" s="256"/>
      <c r="E9" s="19"/>
      <c r="F9" s="19"/>
      <c r="G9" s="19"/>
      <c r="H9" s="19"/>
      <c r="I9" s="19"/>
      <c r="J9" s="19"/>
      <c r="K9" s="19"/>
      <c r="L9" s="19"/>
      <c r="M9" s="19"/>
      <c r="N9" s="19"/>
      <c r="O9" s="19"/>
      <c r="P9" s="19"/>
    </row>
    <row r="10" spans="1:16">
      <c r="A10" s="24" t="s">
        <v>213</v>
      </c>
      <c r="B10" s="25">
        <f ca="1">'EF ele_warmte'!B12</f>
        <v>0.21459385156439578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3689.9971816003731</v>
      </c>
      <c r="C12" s="23">
        <f ca="1">C10*C8</f>
        <v>0</v>
      </c>
      <c r="D12" s="23">
        <f>D8*D10</f>
        <v>3141.726464404207</v>
      </c>
      <c r="E12" s="23">
        <f>E10*E8</f>
        <v>197.55306860423121</v>
      </c>
      <c r="F12" s="23">
        <f>F10*F8</f>
        <v>7931.6109217982939</v>
      </c>
      <c r="G12" s="23"/>
      <c r="H12" s="23"/>
      <c r="I12" s="23"/>
      <c r="J12" s="23">
        <f>J10*J8</f>
        <v>236.79519941114248</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2893</v>
      </c>
      <c r="C26" s="36"/>
      <c r="D26" s="226"/>
    </row>
    <row r="27" spans="1:5" s="15" customFormat="1">
      <c r="A27" s="228" t="s">
        <v>701</v>
      </c>
      <c r="B27" s="37">
        <f>SUM(HH_hh_gas_aantal,HH_rest_gas_aantal)</f>
        <v>1140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1083</v>
      </c>
      <c r="C31" s="34" t="s">
        <v>110</v>
      </c>
      <c r="D31" s="172"/>
    </row>
    <row r="32" spans="1:5">
      <c r="A32" s="169" t="s">
        <v>72</v>
      </c>
      <c r="B32" s="33">
        <f>IF((B21*($B$26-($B$27-0.05*$B$27)-$B$60))&lt;0,0,B21*($B$26-($B$27-0.05*$B$27)-$B$60))</f>
        <v>12.78249227832611</v>
      </c>
      <c r="C32" s="34" t="s">
        <v>110</v>
      </c>
      <c r="D32" s="172"/>
    </row>
    <row r="33" spans="1:6">
      <c r="A33" s="169" t="s">
        <v>73</v>
      </c>
      <c r="B33" s="33">
        <f>IF((B22*($B$26-($B$27-0.05*$B$27)-$B$60))&lt;0,0,B22*($B$26-($B$27-0.05*$B$27)-$B$60))</f>
        <v>366.34448958223066</v>
      </c>
      <c r="C33" s="34" t="s">
        <v>110</v>
      </c>
      <c r="D33" s="172"/>
    </row>
    <row r="34" spans="1:6">
      <c r="A34" s="169" t="s">
        <v>74</v>
      </c>
      <c r="B34" s="33">
        <f>IF((B24*($B$26-($B$27-0.05*$B$27)-$B$60))&lt;0,0,B24*($B$26-($B$27-0.05*$B$27)-$B$60))</f>
        <v>73.052962868164713</v>
      </c>
      <c r="C34" s="33">
        <f>B26*C24</f>
        <v>591.5537394138878</v>
      </c>
      <c r="D34" s="231"/>
    </row>
    <row r="35" spans="1:6">
      <c r="A35" s="169" t="s">
        <v>76</v>
      </c>
      <c r="B35" s="33">
        <f>IF((B19*($B$26-($B$27-0.05*$B$27)-$B$60))&lt;0,0,B19*($B$26-($B$27-0.05*$B$27)-$B$60))</f>
        <v>38.043131780732473</v>
      </c>
      <c r="C35" s="33">
        <f>B35/2</f>
        <v>19.021565890366237</v>
      </c>
      <c r="D35" s="231"/>
    </row>
    <row r="36" spans="1:6">
      <c r="A36" s="169" t="s">
        <v>77</v>
      </c>
      <c r="B36" s="33">
        <f>IF((B18*($B$26-($B$27-0.05*$B$27)-$B$60))&lt;0,0,B18*($B$26-($B$27-0.05*$B$27)-$B$60))</f>
        <v>1312.7769234905461</v>
      </c>
      <c r="C36" s="34" t="s">
        <v>110</v>
      </c>
      <c r="D36" s="172"/>
    </row>
    <row r="37" spans="1:6">
      <c r="A37" s="169" t="s">
        <v>78</v>
      </c>
      <c r="B37" s="33">
        <f>B60</f>
        <v>7</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7</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8786.4157434064182</v>
      </c>
      <c r="C5" s="17">
        <f>IF(ISERROR('Eigen informatie GS &amp; warmtenet'!B58),0,'Eigen informatie GS &amp; warmtenet'!B58)</f>
        <v>0</v>
      </c>
      <c r="D5" s="30">
        <f>SUM(D6:D12)</f>
        <v>7627.3373944846762</v>
      </c>
      <c r="E5" s="17">
        <f>SUM(E6:E12)</f>
        <v>235.40911461295846</v>
      </c>
      <c r="F5" s="17">
        <f>SUM(F6:F12)</f>
        <v>1487.492426490739</v>
      </c>
      <c r="G5" s="18"/>
      <c r="H5" s="17"/>
      <c r="I5" s="17"/>
      <c r="J5" s="17">
        <f>SUM(J6:J12)</f>
        <v>0</v>
      </c>
      <c r="K5" s="17"/>
      <c r="L5" s="17"/>
      <c r="M5" s="17"/>
      <c r="N5" s="17">
        <f>SUM(N6:N12)</f>
        <v>195.9289697454081</v>
      </c>
      <c r="O5" s="17">
        <f>B38*B39*B40</f>
        <v>0</v>
      </c>
      <c r="P5" s="17">
        <f>B46*B47*B48/1000-B46*B47*B48/1000/B49</f>
        <v>0</v>
      </c>
      <c r="R5" s="32"/>
    </row>
    <row r="6" spans="1:18">
      <c r="A6" s="32" t="s">
        <v>53</v>
      </c>
      <c r="B6" s="37">
        <f>B26</f>
        <v>4349.0384143360598</v>
      </c>
      <c r="C6" s="33"/>
      <c r="D6" s="37">
        <f>IF(ISERROR(TER_kantoor_gas_kWh/1000),0,TER_kantoor_gas_kWh/1000)*0.902</f>
        <v>5144.786214488704</v>
      </c>
      <c r="E6" s="33">
        <f>$C$26*'E Balans VL '!I12/100/3.6*1000000</f>
        <v>152.23345251699101</v>
      </c>
      <c r="F6" s="33">
        <f>$C$26*('E Balans VL '!L12+'E Balans VL '!N12)/100/3.6*1000000</f>
        <v>659.40759655313138</v>
      </c>
      <c r="G6" s="34"/>
      <c r="H6" s="33"/>
      <c r="I6" s="33"/>
      <c r="J6" s="33">
        <f>$C$26*('E Balans VL '!D12+'E Balans VL '!E12)/100/3.6*1000000</f>
        <v>0</v>
      </c>
      <c r="K6" s="33"/>
      <c r="L6" s="33"/>
      <c r="M6" s="33"/>
      <c r="N6" s="33">
        <f>$C$26*'E Balans VL '!Y12/100/3.6*1000000</f>
        <v>33.616705731256275</v>
      </c>
      <c r="O6" s="33"/>
      <c r="P6" s="33"/>
      <c r="R6" s="32"/>
    </row>
    <row r="7" spans="1:18">
      <c r="A7" s="32" t="s">
        <v>52</v>
      </c>
      <c r="B7" s="37">
        <f t="shared" ref="B7:B12" si="0">B27</f>
        <v>580.71145778412392</v>
      </c>
      <c r="C7" s="33"/>
      <c r="D7" s="37">
        <f>IF(ISERROR(TER_horeca_gas_kWh/1000),0,TER_horeca_gas_kWh/1000)*0.902</f>
        <v>497.36197630944451</v>
      </c>
      <c r="E7" s="33">
        <f>$C$27*'E Balans VL '!I9/100/3.6*1000000</f>
        <v>32.759847800889304</v>
      </c>
      <c r="F7" s="33">
        <f>$C$27*('E Balans VL '!L9+'E Balans VL '!N9)/100/3.6*1000000</f>
        <v>101.1631496444637</v>
      </c>
      <c r="G7" s="34"/>
      <c r="H7" s="33"/>
      <c r="I7" s="33"/>
      <c r="J7" s="33">
        <f>$C$27*('E Balans VL '!D9+'E Balans VL '!E9)/100/3.6*1000000</f>
        <v>0</v>
      </c>
      <c r="K7" s="33"/>
      <c r="L7" s="33"/>
      <c r="M7" s="33"/>
      <c r="N7" s="33">
        <f>$C$27*'E Balans VL '!Y9/100/3.6*1000000</f>
        <v>0</v>
      </c>
      <c r="O7" s="33"/>
      <c r="P7" s="33"/>
      <c r="R7" s="32"/>
    </row>
    <row r="8" spans="1:18">
      <c r="A8" s="6" t="s">
        <v>51</v>
      </c>
      <c r="B8" s="37">
        <f t="shared" si="0"/>
        <v>1534.21734946316</v>
      </c>
      <c r="C8" s="33"/>
      <c r="D8" s="37">
        <f>IF(ISERROR(TER_handel_gas_kWh/1000),0,TER_handel_gas_kWh/1000)*0.902</f>
        <v>76.222882728540156</v>
      </c>
      <c r="E8" s="33">
        <f>$C$28*'E Balans VL '!I13/100/3.6*1000000</f>
        <v>7.8765159979218575</v>
      </c>
      <c r="F8" s="33">
        <f>$C$28*('E Balans VL '!L13+'E Balans VL '!N13)/100/3.6*1000000</f>
        <v>236.55260919563352</v>
      </c>
      <c r="G8" s="34"/>
      <c r="H8" s="33"/>
      <c r="I8" s="33"/>
      <c r="J8" s="33">
        <f>$C$28*('E Balans VL '!D13+'E Balans VL '!E13)/100/3.6*1000000</f>
        <v>0</v>
      </c>
      <c r="K8" s="33"/>
      <c r="L8" s="33"/>
      <c r="M8" s="33"/>
      <c r="N8" s="33">
        <f>$C$28*'E Balans VL '!Y13/100/3.6*1000000</f>
        <v>0.71757218198748107</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473.60863011472497</v>
      </c>
      <c r="C10" s="33"/>
      <c r="D10" s="37">
        <f>IF(ISERROR(TER_ander_gas_kWh/1000),0,TER_ander_gas_kWh/1000)*0.902</f>
        <v>305.11361856551844</v>
      </c>
      <c r="E10" s="33">
        <f>$C$30*'E Balans VL '!I14/100/3.6*1000000</f>
        <v>2.8871298943818053</v>
      </c>
      <c r="F10" s="33">
        <f>$C$30*('E Balans VL '!L14+'E Balans VL '!N14)/100/3.6*1000000</f>
        <v>125.56013554571412</v>
      </c>
      <c r="G10" s="34"/>
      <c r="H10" s="33"/>
      <c r="I10" s="33"/>
      <c r="J10" s="33">
        <f>$C$30*('E Balans VL '!D14+'E Balans VL '!E14)/100/3.6*1000000</f>
        <v>0</v>
      </c>
      <c r="K10" s="33"/>
      <c r="L10" s="33"/>
      <c r="M10" s="33"/>
      <c r="N10" s="33">
        <f>$C$30*'E Balans VL '!Y14/100/3.6*1000000</f>
        <v>109.15655531220769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255</v>
      </c>
      <c r="B12" s="37">
        <f t="shared" si="0"/>
        <v>1848.83989170835</v>
      </c>
      <c r="C12" s="33"/>
      <c r="D12" s="37">
        <f>IF(ISERROR(TER_rest_gas_kWh/1000),0,TER_rest_gas_kWh/1000)*0.902</f>
        <v>1603.8527023924687</v>
      </c>
      <c r="E12" s="33">
        <f>$C$32*'E Balans VL '!I8/100/3.6*1000000</f>
        <v>39.652168402774457</v>
      </c>
      <c r="F12" s="33">
        <f>$C$32*('E Balans VL '!L8+'E Balans VL '!N8)/100/3.6*1000000</f>
        <v>364.80893555179648</v>
      </c>
      <c r="G12" s="34"/>
      <c r="H12" s="33"/>
      <c r="I12" s="33"/>
      <c r="J12" s="33">
        <f>$C$32*('E Balans VL '!D8+'E Balans VL '!E8)/100/3.6*1000000</f>
        <v>0</v>
      </c>
      <c r="K12" s="33"/>
      <c r="L12" s="33"/>
      <c r="M12" s="33"/>
      <c r="N12" s="33">
        <f>$C$32*'E Balans VL '!Y8/100/3.6*1000000</f>
        <v>52.438136519956672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8786.4157434064182</v>
      </c>
      <c r="C16" s="21">
        <f ca="1">C5+C13+C14</f>
        <v>0</v>
      </c>
      <c r="D16" s="21">
        <f t="shared" ref="D16:N16" ca="1" si="1">MAX((D5+D13+D14),0)</f>
        <v>7627.3373944846762</v>
      </c>
      <c r="E16" s="21">
        <f t="shared" si="1"/>
        <v>235.40911461295846</v>
      </c>
      <c r="F16" s="21">
        <f t="shared" ca="1" si="1"/>
        <v>1487.492426490739</v>
      </c>
      <c r="G16" s="21">
        <f t="shared" si="1"/>
        <v>0</v>
      </c>
      <c r="H16" s="21">
        <f t="shared" si="1"/>
        <v>0</v>
      </c>
      <c r="I16" s="21">
        <f t="shared" si="1"/>
        <v>0</v>
      </c>
      <c r="J16" s="21">
        <f t="shared" si="1"/>
        <v>0</v>
      </c>
      <c r="K16" s="21">
        <f t="shared" si="1"/>
        <v>0</v>
      </c>
      <c r="L16" s="21">
        <f t="shared" ca="1" si="1"/>
        <v>0</v>
      </c>
      <c r="M16" s="21">
        <f t="shared" si="1"/>
        <v>0</v>
      </c>
      <c r="N16" s="21">
        <f t="shared" ca="1" si="1"/>
        <v>195.9289697454081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0.21459385156439578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1885.5107958236272</v>
      </c>
      <c r="C20" s="23">
        <f t="shared" ref="C20:P20" ca="1" si="2">C16*C18</f>
        <v>0</v>
      </c>
      <c r="D20" s="23">
        <f t="shared" ca="1" si="2"/>
        <v>1540.7221536859047</v>
      </c>
      <c r="E20" s="23">
        <f t="shared" si="2"/>
        <v>53.437869017141573</v>
      </c>
      <c r="F20" s="23">
        <f t="shared" ca="1" si="2"/>
        <v>397.16047787302733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4349.0384143360598</v>
      </c>
      <c r="C26" s="39">
        <f>IF(ISERROR(B26*3.6/1000000/'E Balans VL '!Z12*100),0,B26*3.6/1000000/'E Balans VL '!Z12*100)</f>
        <v>9.1518301092382237E-2</v>
      </c>
      <c r="D26" s="234" t="s">
        <v>706</v>
      </c>
      <c r="F26" s="6"/>
    </row>
    <row r="27" spans="1:18">
      <c r="A27" s="229" t="s">
        <v>52</v>
      </c>
      <c r="B27" s="33">
        <f>IF(ISERROR(TER_horeca_ele_kWh/1000),0,TER_horeca_ele_kWh/1000)</f>
        <v>580.71145778412392</v>
      </c>
      <c r="C27" s="39">
        <f>IF(ISERROR(B27*3.6/1000000/'E Balans VL '!Z9*100),0,B27*3.6/1000000/'E Balans VL '!Z9*100)</f>
        <v>4.9167207346496745E-2</v>
      </c>
      <c r="D27" s="234" t="s">
        <v>706</v>
      </c>
      <c r="F27" s="6"/>
    </row>
    <row r="28" spans="1:18">
      <c r="A28" s="169" t="s">
        <v>51</v>
      </c>
      <c r="B28" s="33">
        <f>IF(ISERROR(TER_handel_ele_kWh/1000),0,TER_handel_ele_kWh/1000)</f>
        <v>1534.21734946316</v>
      </c>
      <c r="C28" s="39">
        <f>IF(ISERROR(B28*3.6/1000000/'E Balans VL '!Z13*100),0,B28*3.6/1000000/'E Balans VL '!Z13*100)</f>
        <v>4.2474595169776586E-2</v>
      </c>
      <c r="D28" s="234" t="s">
        <v>706</v>
      </c>
      <c r="F28" s="6"/>
    </row>
    <row r="29" spans="1:18">
      <c r="A29" s="229" t="s">
        <v>50</v>
      </c>
      <c r="B29" s="33">
        <f>IF(ISERROR(TER_gezond_ele_kWh/1000),0,TER_gezond_ele_kWh/1000)</f>
        <v>0</v>
      </c>
      <c r="C29" s="39">
        <f>IF(ISERROR(B29*3.6/1000000/'E Balans VL '!Z10*100),0,B29*3.6/1000000/'E Balans VL '!Z10*100)</f>
        <v>0</v>
      </c>
      <c r="D29" s="234" t="s">
        <v>706</v>
      </c>
      <c r="F29" s="6"/>
    </row>
    <row r="30" spans="1:18">
      <c r="A30" s="229" t="s">
        <v>49</v>
      </c>
      <c r="B30" s="33">
        <f>IF(ISERROR(TER_ander_ele_kWh/1000),0,TER_ander_ele_kWh/1000)</f>
        <v>473.60863011472497</v>
      </c>
      <c r="C30" s="39">
        <f>IF(ISERROR(B30*3.6/1000000/'E Balans VL '!Z14*100),0,B30*3.6/1000000/'E Balans VL '!Z14*100)</f>
        <v>3.6709012156820202E-2</v>
      </c>
      <c r="D30" s="234" t="s">
        <v>706</v>
      </c>
      <c r="F30" s="6"/>
    </row>
    <row r="31" spans="1:18">
      <c r="A31" s="229" t="s">
        <v>54</v>
      </c>
      <c r="B31" s="33">
        <f>IF(ISERROR(TER_onderwijs_ele_kWh/1000),0,TER_onderwijs_ele_kWh/1000)</f>
        <v>0</v>
      </c>
      <c r="C31" s="39">
        <f>IF(ISERROR(B31*3.6/1000000/'E Balans VL '!Z11*100),0,B31*3.6/1000000/'E Balans VL '!Z11*100)</f>
        <v>0</v>
      </c>
      <c r="D31" s="234" t="s">
        <v>706</v>
      </c>
    </row>
    <row r="32" spans="1:18">
      <c r="A32" s="229" t="s">
        <v>255</v>
      </c>
      <c r="B32" s="33">
        <f>IF(ISERROR(TER_rest_ele_kWh/1000),0,TER_rest_ele_kWh/1000)</f>
        <v>1848.83989170835</v>
      </c>
      <c r="C32" s="39">
        <f>IF(ISERROR(B32*3.6/1000000/'E Balans VL '!Z8*100),0,B32*3.6/1000000/'E Balans VL '!Z8*100)</f>
        <v>1.5245104660062134E-2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641.21686546470903</v>
      </c>
      <c r="C5" s="17">
        <f>IF(ISERROR('Eigen informatie GS &amp; warmtenet'!B59),0,'Eigen informatie GS &amp; warmtenet'!B59)</f>
        <v>0</v>
      </c>
      <c r="D5" s="30">
        <f>SUM(D6:D15)</f>
        <v>523.66325351585863</v>
      </c>
      <c r="E5" s="17">
        <f>SUM(E6:E15)</f>
        <v>7.1747123335535123</v>
      </c>
      <c r="F5" s="17">
        <f>SUM(F6:F15)</f>
        <v>229.27738216760804</v>
      </c>
      <c r="G5" s="18"/>
      <c r="H5" s="17"/>
      <c r="I5" s="17"/>
      <c r="J5" s="17">
        <f>SUM(J6:J15)</f>
        <v>4.0159520578152845</v>
      </c>
      <c r="K5" s="17"/>
      <c r="L5" s="17"/>
      <c r="M5" s="17"/>
      <c r="N5" s="17">
        <f>SUM(N6:N15)</f>
        <v>20.717398865447688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116.588465880013</v>
      </c>
      <c r="C8" s="33"/>
      <c r="D8" s="37">
        <f>IF( ISERROR(IND_metaal_Gas_kWH/1000),0,IND_metaal_Gas_kWH/1000)*0.902</f>
        <v>215.7227033439674</v>
      </c>
      <c r="E8" s="33">
        <f>C30*'E Balans VL '!I18/100/3.6*1000000</f>
        <v>0.81924142566070579</v>
      </c>
      <c r="F8" s="33">
        <f>C30*'E Balans VL '!L18/100/3.6*1000000+C30*'E Balans VL '!N18/100/3.6*1000000</f>
        <v>12.800731443960972</v>
      </c>
      <c r="G8" s="34"/>
      <c r="H8" s="33"/>
      <c r="I8" s="33"/>
      <c r="J8" s="40">
        <f>C30*'E Balans VL '!D18/100/3.6*1000000+C30*'E Balans VL '!E18/100/3.6*1000000</f>
        <v>2.4054713449247838</v>
      </c>
      <c r="K8" s="33"/>
      <c r="L8" s="33"/>
      <c r="M8" s="33"/>
      <c r="N8" s="33">
        <f>C30*'E Balans VL '!Y18/100/3.6*1000000</f>
        <v>0.43698196681059503</v>
      </c>
      <c r="O8" s="33"/>
      <c r="P8" s="33"/>
      <c r="R8" s="32"/>
    </row>
    <row r="9" spans="1:18">
      <c r="A9" s="6" t="s">
        <v>32</v>
      </c>
      <c r="B9" s="37">
        <f t="shared" si="0"/>
        <v>205.864638400384</v>
      </c>
      <c r="C9" s="33"/>
      <c r="D9" s="37">
        <f>IF( ISERROR(IND_andere_gas_kWh/1000),0,IND_andere_gas_kWh/1000)*0.902</f>
        <v>91.863668309406719</v>
      </c>
      <c r="E9" s="33">
        <f>C31*'E Balans VL '!I19/100/3.6*1000000</f>
        <v>3.4577487941685394</v>
      </c>
      <c r="F9" s="33">
        <f>C31*'E Balans VL '!L19/100/3.6*1000000+C31*'E Balans VL '!N19/100/3.6*1000000</f>
        <v>160.93324912710727</v>
      </c>
      <c r="G9" s="34"/>
      <c r="H9" s="33"/>
      <c r="I9" s="33"/>
      <c r="J9" s="40">
        <f>C31*'E Balans VL '!D19/100/3.6*1000000+C31*'E Balans VL '!E19/100/3.6*1000000</f>
        <v>1.8567173137311353E-2</v>
      </c>
      <c r="K9" s="33"/>
      <c r="L9" s="33"/>
      <c r="M9" s="33"/>
      <c r="N9" s="33">
        <f>C31*'E Balans VL '!Y19/100/3.6*1000000</f>
        <v>15.257872512821455</v>
      </c>
      <c r="O9" s="33"/>
      <c r="P9" s="33"/>
      <c r="R9" s="32"/>
    </row>
    <row r="10" spans="1:18">
      <c r="A10" s="6" t="s">
        <v>40</v>
      </c>
      <c r="B10" s="37">
        <f t="shared" si="0"/>
        <v>212.04568899901199</v>
      </c>
      <c r="C10" s="33"/>
      <c r="D10" s="37">
        <f>IF( ISERROR(IND_voed_gas_kWh/1000),0,IND_voed_gas_kWh/1000)*0.902</f>
        <v>0</v>
      </c>
      <c r="E10" s="33">
        <f>C32*'E Balans VL '!I20/100/3.6*1000000</f>
        <v>1.9346167508451582</v>
      </c>
      <c r="F10" s="33">
        <f>C32*'E Balans VL '!L20/100/3.6*1000000+C32*'E Balans VL '!N20/100/3.6*1000000</f>
        <v>34.209602036550905</v>
      </c>
      <c r="G10" s="34"/>
      <c r="H10" s="33"/>
      <c r="I10" s="33"/>
      <c r="J10" s="40">
        <f>C32*'E Balans VL '!D20/100/3.6*1000000+C32*'E Balans VL '!E20/100/3.6*1000000</f>
        <v>0.87334317118110127</v>
      </c>
      <c r="K10" s="33"/>
      <c r="L10" s="33"/>
      <c r="M10" s="33"/>
      <c r="N10" s="33">
        <f>C32*'E Balans VL '!Y20/100/3.6*1000000</f>
        <v>3.1020612273370465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106.7180721853</v>
      </c>
      <c r="C15" s="33"/>
      <c r="D15" s="37">
        <f>IF( ISERROR(IND_rest_gas_kWh/1000),0,IND_rest_gas_kWh/1000)*0.902</f>
        <v>216.07688186248453</v>
      </c>
      <c r="E15" s="33">
        <f>C37*'E Balans VL '!I15/100/3.6*1000000</f>
        <v>0.96310536287910931</v>
      </c>
      <c r="F15" s="33">
        <f>C37*'E Balans VL '!L15/100/3.6*1000000+C37*'E Balans VL '!N15/100/3.6*1000000</f>
        <v>21.333799559988861</v>
      </c>
      <c r="G15" s="34"/>
      <c r="H15" s="33"/>
      <c r="I15" s="33"/>
      <c r="J15" s="40">
        <f>C37*'E Balans VL '!D15/100/3.6*1000000+C37*'E Balans VL '!E15/100/3.6*1000000</f>
        <v>0.71857036857208845</v>
      </c>
      <c r="K15" s="33"/>
      <c r="L15" s="33"/>
      <c r="M15" s="33"/>
      <c r="N15" s="33">
        <f>C37*'E Balans VL '!Y15/100/3.6*1000000</f>
        <v>1.9204831584785886</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641.21686546470903</v>
      </c>
      <c r="C18" s="21">
        <f>C5+C16</f>
        <v>0</v>
      </c>
      <c r="D18" s="21">
        <f>MAX((D5+D16),0)</f>
        <v>523.66325351585863</v>
      </c>
      <c r="E18" s="21">
        <f>MAX((E5+E16),0)</f>
        <v>7.1747123335535123</v>
      </c>
      <c r="F18" s="21">
        <f>MAX((F5+F16),0)</f>
        <v>229.27738216760804</v>
      </c>
      <c r="G18" s="21"/>
      <c r="H18" s="21"/>
      <c r="I18" s="21"/>
      <c r="J18" s="21">
        <f>MAX((J5+J16),0)</f>
        <v>4.0159520578152845</v>
      </c>
      <c r="K18" s="21"/>
      <c r="L18" s="21">
        <f>MAX((L5+L16),0)</f>
        <v>0</v>
      </c>
      <c r="M18" s="21"/>
      <c r="N18" s="21">
        <f>MAX((N5+N16),0)</f>
        <v>20.717398865447688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0.21459385156439578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137.60119684812091</v>
      </c>
      <c r="C22" s="23">
        <f ca="1">C18*C20</f>
        <v>0</v>
      </c>
      <c r="D22" s="23">
        <f>D18*D20</f>
        <v>105.77997721020346</v>
      </c>
      <c r="E22" s="23">
        <f>E18*E20</f>
        <v>1.6286596997166474</v>
      </c>
      <c r="F22" s="23">
        <f>F18*F20</f>
        <v>61.217061038751346</v>
      </c>
      <c r="G22" s="23"/>
      <c r="H22" s="23"/>
      <c r="I22" s="23"/>
      <c r="J22" s="23">
        <f>J18*J20</f>
        <v>1.4216470284666107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116.588465880013</v>
      </c>
      <c r="C30" s="39">
        <f>IF(ISERROR(B30*3.6/1000000/'E Balans VL '!Z18*100),0,B30*3.6/1000000/'E Balans VL '!Z18*100)</f>
        <v>7.7613653685157371E-3</v>
      </c>
      <c r="D30" s="234" t="s">
        <v>706</v>
      </c>
    </row>
    <row r="31" spans="1:18">
      <c r="A31" s="6" t="s">
        <v>32</v>
      </c>
      <c r="B31" s="37">
        <f>IF( ISERROR(IND_ander_ele_kWh/1000),0,IND_ander_ele_kWh/1000)</f>
        <v>205.864638400384</v>
      </c>
      <c r="C31" s="39">
        <f>IF(ISERROR(B31*3.6/1000000/'E Balans VL '!Z19*100),0,B31*3.6/1000000/'E Balans VL '!Z19*100)</f>
        <v>9.1251635896683787E-3</v>
      </c>
      <c r="D31" s="234" t="s">
        <v>706</v>
      </c>
    </row>
    <row r="32" spans="1:18">
      <c r="A32" s="169" t="s">
        <v>40</v>
      </c>
      <c r="B32" s="37">
        <f>IF( ISERROR(IND_voed_ele_kWh/1000),0,IND_voed_ele_kWh/1000)</f>
        <v>212.04568899901199</v>
      </c>
      <c r="C32" s="39">
        <f>IF(ISERROR(B32*3.6/1000000/'E Balans VL '!Z20*100),0,B32*3.6/1000000/'E Balans VL '!Z20*100)</f>
        <v>7.0829342929218751E-3</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106.7180721853</v>
      </c>
      <c r="C37" s="39">
        <f>IF(ISERROR(B37*3.6/1000000/'E Balans VL '!Z15*100),0,B37*3.6/1000000/'E Balans VL '!Z15*100)</f>
        <v>7.9380859844730789E-4</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737.13860062185915</v>
      </c>
      <c r="C5" s="17">
        <f>'Eigen informatie GS &amp; warmtenet'!B60</f>
        <v>0</v>
      </c>
      <c r="D5" s="30">
        <f>IF(ISERROR(SUM(LB_lb_gas_kWh,LB_rest_gas_kWh)/1000),0,SUM(LB_lb_gas_kWh,LB_rest_gas_kWh)/1000)*0.902</f>
        <v>645.00939158100243</v>
      </c>
      <c r="E5" s="17">
        <f>B17*'E Balans VL '!I25/3.6*1000000/100</f>
        <v>7.7194750097113483</v>
      </c>
      <c r="F5" s="17">
        <f>B17*('E Balans VL '!L25/3.6*1000000+'E Balans VL '!N25/3.6*1000000)/100</f>
        <v>3155.5133170430263</v>
      </c>
      <c r="G5" s="18"/>
      <c r="H5" s="17"/>
      <c r="I5" s="17"/>
      <c r="J5" s="17">
        <f>('E Balans VL '!D25+'E Balans VL '!E25)/3.6*1000000*landbouw!B17/100</f>
        <v>65.833084121524038</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737.13860062185915</v>
      </c>
      <c r="C8" s="21">
        <f>C5+C6</f>
        <v>0</v>
      </c>
      <c r="D8" s="21">
        <f>MAX((D5+D6),0)</f>
        <v>645.00939158100243</v>
      </c>
      <c r="E8" s="21">
        <f>MAX((E5+E6),0)</f>
        <v>7.7194750097113483</v>
      </c>
      <c r="F8" s="21">
        <f>MAX((F5+F6),0)</f>
        <v>3155.5133170430263</v>
      </c>
      <c r="G8" s="21"/>
      <c r="H8" s="21"/>
      <c r="I8" s="21"/>
      <c r="J8" s="21">
        <f>MAX((J5+J6),0)</f>
        <v>65.833084121524038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0.21459385156439578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158.18541144423367</v>
      </c>
      <c r="C12" s="23">
        <f ca="1">C8*C10</f>
        <v>0</v>
      </c>
      <c r="D12" s="23">
        <f>D8*D10</f>
        <v>130.2918970993625</v>
      </c>
      <c r="E12" s="23">
        <f>E8*E10</f>
        <v>1.7523208272044761</v>
      </c>
      <c r="F12" s="23">
        <f>F8*F10</f>
        <v>842.52205565048803</v>
      </c>
      <c r="G12" s="23"/>
      <c r="H12" s="23"/>
      <c r="I12" s="23"/>
      <c r="J12" s="23">
        <f>J8*J10</f>
        <v>23.304911779019509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0.11345986004026787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218.25845490346603</v>
      </c>
      <c r="C26" s="244">
        <f>B26*'GWP N2O_CH4'!B5</f>
        <v>4583.4275529727865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28.439240140639082</v>
      </c>
      <c r="C27" s="244">
        <f>B27*'GWP N2O_CH4'!B5</f>
        <v>597.22404295342074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3.5959020563966235</v>
      </c>
      <c r="C28" s="244">
        <f>B28*'GWP N2O_CH4'!B4</f>
        <v>1114.7296374829532</v>
      </c>
      <c r="D28" s="50"/>
    </row>
    <row r="29" spans="1:4">
      <c r="A29" s="41" t="s">
        <v>272</v>
      </c>
      <c r="B29" s="244">
        <f>B34*'ha_N2O bodem landbouw'!B4</f>
        <v>17.139403806865829</v>
      </c>
      <c r="C29" s="244">
        <f>B29*'GWP N2O_CH4'!B4</f>
        <v>5313.2151801284072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2.8325115828163939E-3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3.5978782722048289E-6</v>
      </c>
      <c r="C5" s="435" t="s">
        <v>210</v>
      </c>
      <c r="D5" s="420">
        <f>SUM(D6:D11)</f>
        <v>1.1399503780561791E-5</v>
      </c>
      <c r="E5" s="420">
        <f>SUM(E6:E11)</f>
        <v>1.3273950173564254E-3</v>
      </c>
      <c r="F5" s="433" t="s">
        <v>210</v>
      </c>
      <c r="G5" s="420">
        <f>SUM(G6:G11)</f>
        <v>0.31032803746556503</v>
      </c>
      <c r="H5" s="420">
        <f>SUM(H6:H11)</f>
        <v>3.8862064023284314E-2</v>
      </c>
      <c r="I5" s="435" t="s">
        <v>210</v>
      </c>
      <c r="J5" s="435" t="s">
        <v>210</v>
      </c>
      <c r="K5" s="435" t="s">
        <v>210</v>
      </c>
      <c r="L5" s="435" t="s">
        <v>210</v>
      </c>
      <c r="M5" s="420">
        <f>SUM(M6:M11)</f>
        <v>1.5157304753175182E-2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6.7268931727279176E-7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2.1298830249280546E-6</v>
      </c>
      <c r="E6" s="423">
        <f>vkm_GW_PW*SUMIFS(TableVerdeelsleutelVkm[LPG],TableVerdeelsleutelVkm[Voertuigtype],"Lichte voertuigen")*SUMIFS(TableECFTransport[EnergieConsumptieFactor (PJ per km)],TableECFTransport[Index],CONCATENATE($A6,"_LPG_LPG"))</f>
        <v>2.2195233186999628E-4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2.956410593612644E-2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7.0923651775608833E-3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1.6000239860931233E-3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3.364237853325867E-8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1.5165215960094156E-2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4.105979388447193E-7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6.5332380983132703E-4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5.0905056682907644E-7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2.7391769446573812E-6</v>
      </c>
      <c r="E8" s="423">
        <f>vkm_NGW_PW*SUMIFS(TableVerdeelsleutelVkm[LPG],TableVerdeelsleutelVkm[Voertuigtype],"Lichte voertuigen")*SUMIFS(TableECFTransport[EnergieConsumptieFactor (PJ per km)],TableECFTransport[Index],CONCATENATE($A8,"_LPG_LPG"))</f>
        <v>2.6938061110178934E-4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3.3973187333231611E-2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8.6249132961726677E-3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1.8604992393272156E-3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4.6970985398845305E-9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2.9328550116531613E-3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6.9195235126598812E-8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1.2634814349677645E-4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2.0924604090076954E-6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6.5304438109763551E-6</v>
      </c>
      <c r="E10" s="423">
        <f>vkm_SW_PW*SUMIFS(TableVerdeelsleutelVkm[LPG],TableVerdeelsleutelVkm[Voertuigtype],"Lichte voertuigen")*SUMIFS(TableECFTransport[EnergieConsumptieFactor (PJ per km)],TableECFTransport[Index],CONCATENATE($A10,"_LPG_LPG"))</f>
        <v>8.3606207438463977E-4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0.10458115894689041</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2.3140721319900574E-2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5.5703236139609674E-3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2.8533850202212212E-7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0.12411151427756925</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3.5844364762194507E-6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5.3467859604657726E-3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0.9994106311680081</v>
      </c>
      <c r="C14" s="21"/>
      <c r="D14" s="21">
        <f t="shared" ref="D14:M14" si="0">((D5)*10^9/3600)+D12</f>
        <v>3.1665288279338308</v>
      </c>
      <c r="E14" s="21">
        <f t="shared" si="0"/>
        <v>368.72083815456267</v>
      </c>
      <c r="F14" s="21"/>
      <c r="G14" s="21">
        <f t="shared" si="0"/>
        <v>86202.232629323611</v>
      </c>
      <c r="H14" s="21">
        <f t="shared" si="0"/>
        <v>10795.017784245643</v>
      </c>
      <c r="I14" s="21"/>
      <c r="J14" s="21"/>
      <c r="K14" s="21"/>
      <c r="L14" s="21"/>
      <c r="M14" s="21">
        <f t="shared" si="0"/>
        <v>4210.3624314375502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0.21459385156439578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0.21446737663674664</v>
      </c>
      <c r="C18" s="23"/>
      <c r="D18" s="23">
        <f t="shared" ref="D18:M18" si="1">D14*D16</f>
        <v>0.63963882324263388</v>
      </c>
      <c r="E18" s="23">
        <f t="shared" si="1"/>
        <v>83.69963026108573</v>
      </c>
      <c r="F18" s="23"/>
      <c r="G18" s="23">
        <f t="shared" si="1"/>
        <v>23015.996112029407</v>
      </c>
      <c r="H18" s="23">
        <f t="shared" si="1"/>
        <v>2687.959428277165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1.4377355015968625E-5</v>
      </c>
      <c r="C50" s="315">
        <f t="shared" ref="C50:P50" si="2">SUM(C51:C52)</f>
        <v>0</v>
      </c>
      <c r="D50" s="315">
        <f t="shared" si="2"/>
        <v>0</v>
      </c>
      <c r="E50" s="315">
        <f t="shared" si="2"/>
        <v>0</v>
      </c>
      <c r="F50" s="315">
        <f t="shared" si="2"/>
        <v>0</v>
      </c>
      <c r="G50" s="315">
        <f t="shared" si="2"/>
        <v>3.1190228241065243E-3</v>
      </c>
      <c r="H50" s="315">
        <f t="shared" si="2"/>
        <v>0</v>
      </c>
      <c r="I50" s="315">
        <f t="shared" si="2"/>
        <v>0</v>
      </c>
      <c r="J50" s="315">
        <f t="shared" si="2"/>
        <v>0</v>
      </c>
      <c r="K50" s="315">
        <f t="shared" si="2"/>
        <v>0</v>
      </c>
      <c r="L50" s="315">
        <f t="shared" si="2"/>
        <v>0</v>
      </c>
      <c r="M50" s="315">
        <f t="shared" si="2"/>
        <v>1.335445763848508E-4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1.4377355015968625E-5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3.1190228241065243E-3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1.335445763848508E-4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3.9937097266579515</v>
      </c>
      <c r="C54" s="21">
        <f t="shared" ref="C54:P54" si="3">(C50)*10^9/3600</f>
        <v>0</v>
      </c>
      <c r="D54" s="21">
        <f t="shared" si="3"/>
        <v>0</v>
      </c>
      <c r="E54" s="21">
        <f t="shared" si="3"/>
        <v>0</v>
      </c>
      <c r="F54" s="21">
        <f t="shared" si="3"/>
        <v>0</v>
      </c>
      <c r="G54" s="21">
        <f t="shared" si="3"/>
        <v>866.39522891847901</v>
      </c>
      <c r="H54" s="21">
        <f t="shared" si="3"/>
        <v>0</v>
      </c>
      <c r="I54" s="21">
        <f t="shared" si="3"/>
        <v>0</v>
      </c>
      <c r="J54" s="21">
        <f t="shared" si="3"/>
        <v>0</v>
      </c>
      <c r="K54" s="21">
        <f t="shared" si="3"/>
        <v>0</v>
      </c>
      <c r="L54" s="21">
        <f t="shared" si="3"/>
        <v>0</v>
      </c>
      <c r="M54" s="21">
        <f t="shared" si="3"/>
        <v>37.095715662458559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0.21459385156439578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0.85702555227372013</v>
      </c>
      <c r="C58" s="23">
        <f t="shared" ref="C58:P58" ca="1" si="4">C54*C56</f>
        <v>0</v>
      </c>
      <c r="D58" s="23">
        <f t="shared" si="4"/>
        <v>0</v>
      </c>
      <c r="E58" s="23">
        <f t="shared" si="4"/>
        <v>0</v>
      </c>
      <c r="F58" s="23">
        <f t="shared" si="4"/>
        <v>0</v>
      </c>
      <c r="G58" s="23">
        <f t="shared" si="4"/>
        <v>231.32752612123392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832.59160589498072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832.59160589498072</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2021-06-29T17:03:37Z</dcterms:modified>
</cp:coreProperties>
</file>