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<sst xmlns="http://schemas.openxmlformats.org/spreadsheetml/2006/main" count="2608" uniqueCount="997">
  <si>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</si>
  <si>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</si>
  <si>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</si>
  <si>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</si>
  <si>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</si>
  <si>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</si>
  <si>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</si>
  <si>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</si>
  <si>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</si>
  <si>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</si>
  <si>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</si>
  <si>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</si>
  <si>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</si>
  <si>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</si>
  <si>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</si>
  <si>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</si>
  <si>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</si>
  <si>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</si>
  <si>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</si>
  <si>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</si>
  <si>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</si>
  <si>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</si>
  <si>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</si>
  <si>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</si>
  <si>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</si>
  <si>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</si>
  <si>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</si>
  <si>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</si>
  <si>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</si>
  <si>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</si>
  <si>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</si>
  <si>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</si>
  <si>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</si>
  <si>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</si>
  <si>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</si>
  <si>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</si>
  <si>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</si>
  <si>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</si>
  <si>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</si>
  <si>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</si>
  <si>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</si>
  <si>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</si>
  <si>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</si>
  <si>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</si>
  <si>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</si>
  <si>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</si>
  <si>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</si>
  <si>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</si>
  <si>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</si>
  <si>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</si>
  <si>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</si>
  <si>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</si>
  <si>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</si>
  <si>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</si>
  <si>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</si>
  <si>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</si>
  <si>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</si>
  <si>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</si>
  <si>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</si>
  <si>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</si>
  <si>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</si>
  <si>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</si>
  <si>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</si>
  <si>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</si>
  <si>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</si>
  <si>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</si>
  <si>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</si>
  <si>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</si>
  <si>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</si>
  <si>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</si>
  <si>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</si>
  <si>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</si>
  <si>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</si>
  <si>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</si>
  <si>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</si>
  <si>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</si>
  <si>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</si>
  <si>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</si>
  <si>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</si>
  <si>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</si>
  <si>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</si>
  <si>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</si>
  <si>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</si>
  <si>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</si>
  <si>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</si>
  <si>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</si>
  <si>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</si>
  <si>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</si>
  <si>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</si>
  <si>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</si>
  <si>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</si>
  <si>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</si>
  <si>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</si>
  <si>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</si>
  <si>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</si>
  <si>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</si>
  <si>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</si>
  <si>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</si>
  <si>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</si>
  <si>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</si>
  <si>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</si>
  <si>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</si>
  <si>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</si>
  <si>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</si>
  <si>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</si>
  <si>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</si>
  <si>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</si>
  <si>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</si>
  <si>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</si>
  <si>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</si>
  <si>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</si>
  <si>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</si>
  <si>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</si>
  <si>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</si>
  <si>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</si>
  <si>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</si>
  <si>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</si>
  <si>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</si>
  <si>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</si>
  <si>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</si>
  <si>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</si>
  <si>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</si>
  <si>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</si>
  <si>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</si>
  <si>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</si>
  <si>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</si>
  <si>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</si>
  <si>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</si>
  <si>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</si>
  <si>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</si>
  <si>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</si>
  <si>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</si>
  <si>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</si>
  <si>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</si>
  <si>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</si>
  <si>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</si>
  <si>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</si>
  <si>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</si>
  <si>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</si>
  <si>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</si>
  <si>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</si>
  <si>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</si>
  <si>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</si>
  <si>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</si>
  <si>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</si>
  <si>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</si>
  <si>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</si>
  <si>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</si>
  <si>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</si>
  <si>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</si>
  <si>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</si>
  <si>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</si>
  <si>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</si>
  <si>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</si>
  <si>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</si>
  <si>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</si>
  <si>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</si>
  <si>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</si>
  <si>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</si>
  <si>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</si>
  <si>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</si>
  <si>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</si>
  <si>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</si>
  <si>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</si>
  <si>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</si>
  <si>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</si>
  <si>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</si>
  <si>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</si>
  <si>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</si>
  <si>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</si>
  <si>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</si>
  <si>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</si>
  <si>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</si>
  <si>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</si>
  <si>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</si>
  <si>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</si>
  <si>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</si>
  <si>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</si>
  <si>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</si>
  <si>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</si>
  <si>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</si>
  <si>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</si>
  <si>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</si>
  <si>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</si>
  <si>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</si>
  <si>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</si>
  <si>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</si>
  <si>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</si>
  <si>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</si>
  <si>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</si>
  <si>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</si>
  <si>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</si>
  <si>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</si>
  <si>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</si>
  <si>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</si>
  <si>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</si>
  <si>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</si>
  <si>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</si>
  <si>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</si>
  <si>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</si>
  <si>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</si>
  <si>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</si>
  <si>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</si>
  <si>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</si>
  <si>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</si>
  <si>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</si>
  <si>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</si>
  <si>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</si>
  <si>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</si>
  <si>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</si>
  <si>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</si>
  <si>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</si>
  <si>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</si>
  <si>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</si>
  <si>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</si>
  <si>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</si>
  <si>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</si>
  <si>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</si>
  <si>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</si>
  <si>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</si>
  <si>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</si>
  <si>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</si>
  <si>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</si>
  <si>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</si>
  <si>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</si>
  <si>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</si>
  <si>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</si>
  <si>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</si>
  <si>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</si>
  <si>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</si>
  <si>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</si>
  <si>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</si>
  <si>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</si>
  <si>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</si>
  <si>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</si>
  <si>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</si>
  <si>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</si>
  <si>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</si>
  <si>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</si>
  <si>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</si>
  <si>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</si>
  <si>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</si>
  <si>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</si>
  <si>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</si>
  <si>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</si>
  <si>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</si>
  <si>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</si>
  <si>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</si>
  <si>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</si>
  <si>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</si>
  <si>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</si>
  <si>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</si>
  <si>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</si>
  <si>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</si>
  <si>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</si>
  <si>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</si>
  <si>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</si>
  <si>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</si>
  <si>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</si>
  <si>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</si>
  <si>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</si>
  <si>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</si>
  <si>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</si>
  <si>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</si>
  <si>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</si>
  <si>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</si>
  <si>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</si>
  <si>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</si>
  <si>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</si>
  <si>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</si>
  <si>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</si>
  <si>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</si>
  <si>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</si>
  <si>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</si>
  <si>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</si>
  <si>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</si>
  <si>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</si>
  <si>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</si>
  <si>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</si>
  <si>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</si>
  <si>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</si>
  <si>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</si>
  <si>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</si>
  <si>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</si>
  <si>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</si>
  <si>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</si>
  <si>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</si>
  <si>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</si>
  <si>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</si>
  <si>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</si>
  <si>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</si>
  <si>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</si>
  <si>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</si>
  <si>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</si>
  <si>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</si>
  <si>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</si>
  <si>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</si>
  <si>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</si>
  <si>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</si>
  <si>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</si>
  <si>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</si>
  <si>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</si>
  <si>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</si>
  <si>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</si>
  <si>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</si>
  <si>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</si>
  <si>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</si>
  <si>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</si>
  <si>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</si>
  <si>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</si>
  <si>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</si>
  <si>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</si>
  <si>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</si>
  <si>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</si>
  <si>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</si>
  <si>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</si>
  <si>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</si>
  <si>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</si>
  <si>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</si>
  <si>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</si>
  <si>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</si>
  <si>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</si>
  <si>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</si>
  <si>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</si>
  <si>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</si>
  <si>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</si>
  <si>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</si>
  <si>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</si>
  <si>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</si>
  <si>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</si>
  <si>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</si>
  <si>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</si>
  <si>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</si>
  <si>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</si>
  <si>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</si>
  <si>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</si>
  <si>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</si>
  <si>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</si>
  <si>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</si>
  <si>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</si>
  <si>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</si>
  <si>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</si>
  <si>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</si>
  <si>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</si>
  <si>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</si>
  <si>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</si>
  <si>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</si>
  <si>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</si>
  <si>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</si>
  <si>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</si>
  <si>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</si>
  <si>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</si>
  <si>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</si>
  <si>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</si>
  <si>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</si>
  <si>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</si>
  <si>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</si>
  <si>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</si>
  <si>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</si>
  <si>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</si>
  <si>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</si>
  <si>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</si>
  <si>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</si>
  <si>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</si>
  <si>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</si>
  <si>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</si>
  <si>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</si>
  <si>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</si>
  <si>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</si>
  <si>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</si>
  <si>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</si>
  <si>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</si>
  <si>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</si>
  <si>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</si>
  <si>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</si>
  <si>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</si>
  <si>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</si>
  <si>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</si>
  <si>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</si>
  <si>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</si>
  <si>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</si>
  <si>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</si>
  <si>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</si>
  <si>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</si>
  <si>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</si>
  <si>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</si>
  <si>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</si>
  <si>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</si>
  <si>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</si>
  <si>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</si>
  <si>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</si>
  <si>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</si>
  <si>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</si>
  <si>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</si>
  <si>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</si>
  <si>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</si>
  <si>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</si>
  <si>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</si>
  <si>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</si>
  <si>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</si>
  <si>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</si>
  <si>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</si>
  <si>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</si>
  <si>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</si>
  <si>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</si>
  <si>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</si>
  <si>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</si>
  <si>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</si>
  <si>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</si>
  <si>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</si>
  <si>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</si>
  <si>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</si>
  <si>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</si>
  <si>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</si>
  <si>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</si>
  <si>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</si>
  <si>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</si>
  <si>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</si>
  <si>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</si>
  <si>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</si>
  <si>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</si>
  <si>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</si>
  <si>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</si>
  <si>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</si>
  <si>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</si>
  <si>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</si>
  <si>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</si>
  <si>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</si>
  <si>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</si>
  <si>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</si>
  <si>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</si>
  <si>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</si>
  <si>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</si>
  <si>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</si>
  <si>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</si>
  <si>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</si>
  <si>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</si>
  <si>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</si>
  <si>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</si>
  <si>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</si>
  <si>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</si>
  <si>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</si>
  <si>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</si>
  <si>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</si>
  <si>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</si>
  <si>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</si>
  <si>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</si>
  <si>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</si>
  <si>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</si>
  <si>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</si>
  <si>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</si>
  <si>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</si>
  <si>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</si>
  <si>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</si>
  <si>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</si>
  <si>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</si>
  <si>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</si>
  <si>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</si>
  <si>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</si>
  <si>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</si>
  <si>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</si>
  <si>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</si>
  <si>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</si>
  <si>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</si>
  <si>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</si>
  <si>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</si>
  <si>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</si>
  <si>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</si>
  <si>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</si>
  <si>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</si>
  <si>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</si>
  <si>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</si>
  <si>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</si>
  <si>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</si>
  <si>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</si>
  <si>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</si>
  <si>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</si>
  <si>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</si>
  <si>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</si>
  <si>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</si>
  <si>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</si>
  <si>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</si>
  <si>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</si>
  <si>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</si>
  <si>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</si>
  <si>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</si>
  <si>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</si>
  <si>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</si>
  <si>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</si>
  <si>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</si>
  <si>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</si>
  <si>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</si>
  <si>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</si>
  <si>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</si>
  <si>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</si>
  <si>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</si>
  <si>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</si>
  <si>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</si>
  <si>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</si>
  <si>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</si>
  <si>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</si>
  <si>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</si>
  <si>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</si>
  <si>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</si>
  <si>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</si>
  <si>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</si>
  <si>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</si>
  <si>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</si>
  <si>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</si>
  <si>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</si>
  <si>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</si>
  <si>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</si>
  <si>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</si>
  <si>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</si>
  <si>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</si>
  <si>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</si>
  <si>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</si>
  <si>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</si>
  <si>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</si>
  <si>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</si>
  <si>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</si>
  <si>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</si>
  <si>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</si>
  <si>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</si>
  <si>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</si>
  <si>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</si>
  <si>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</si>
  <si>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</si>
  <si>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</si>
  <si>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</si>
  <si>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</si>
  <si>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</si>
  <si>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</si>
  <si>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</si>
  <si>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</si>
  <si>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</si>
  <si>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</si>
  <si>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</si>
  <si>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</si>
  <si>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</si>
  <si>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</si>
  <si>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</si>
  <si>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</si>
  <si>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</si>
  <si>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</si>
  <si>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</si>
  <si>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</si>
  <si>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</si>
  <si>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</si>
  <si>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</si>
  <si>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</si>
  <si>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</si>
  <si>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</si>
  <si>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</si>
  <si>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</si>
  <si>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</si>
  <si>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</si>
  <si>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</si>
  <si>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</si>
  <si>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</si>
  <si>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</si>
  <si>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</si>
  <si>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</si>
  <si>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</si>
  <si>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</si>
  <si>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</si>
  <si>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</si>
  <si>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</si>
  <si>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</si>
  <si>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</si>
  <si>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</si>
  <si>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</si>
  <si>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</si>
  <si>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</si>
  <si>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</si>
  <si>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</si>
  <si>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</si>
  <si>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</si>
  <si>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</si>
  <si>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</si>
  <si>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</si>
  <si>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</si>
  <si>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</si>
  <si>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</si>
  <si>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</si>
  <si>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</si>
  <si>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</si>
  <si>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</si>
  <si>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</si>
  <si>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</si>
  <si>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</si>
  <si>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</si>
  <si>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</si>
  <si>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</si>
  <si>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</si>
  <si>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</si>
  <si>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</si>
  <si>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</si>
  <si>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</si>
  <si>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</si>
  <si>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</si>
  <si>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</si>
  <si>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</si>
  <si>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</si>
  <si>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</si>
  <si>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</si>
  <si>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</si>
  <si>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</si>
  <si>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</si>
  <si>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</si>
  <si>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</si>
  <si>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</si>
  <si>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</si>
  <si>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</si>
  <si>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</si>
  <si>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</si>
  <si>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</si>
  <si>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</si>
  <si>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</si>
  <si>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</si>
  <si>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</si>
  <si>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</si>
  <si>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</si>
  <si>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</si>
  <si>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</si>
  <si>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</si>
  <si>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</si>
  <si>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</si>
  <si>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</si>
  <si>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</si>
  <si>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</si>
  <si>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</si>
  <si>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</si>
  <si>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</si>
  <si>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</si>
  <si>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</si>
  <si>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</si>
  <si>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</si>
  <si>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</si>
  <si>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</si>
  <si>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</si>
  <si>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</si>
  <si>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</si>
  <si>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</si>
  <si>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</si>
  <si>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</si>
  <si>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</si>
  <si>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</si>
  <si>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</si>
  <si>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</si>
  <si>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</si>
  <si>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</si>
  <si>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</si>
  <si>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</si>
  <si>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</si>
  <si>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</si>
  <si>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</si>
  <si>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</si>
  <si>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</si>
  <si>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</si>
  <si>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</si>
  <si>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</si>
  <si>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</si>
  <si>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</si>
  <si>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</si>
  <si>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</si>
  <si>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</si>
  <si>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</si>
  <si>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</si>
  <si>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</si>
  <si>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</si>
  <si>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</si>
  <si>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</si>
  <si>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</si>
  <si>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</si>
  <si>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</si>
  <si>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</si>
  <si>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</si>
  <si>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</si>
  <si>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</si>
  <si>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</si>
  <si>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</si>
  <si>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</si>
  <si>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</si>
  <si>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</si>
  <si>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</si>
  <si>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</si>
  <si>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</si>
  <si>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</si>
  <si>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</si>
  <si>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</si>
  <si>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</si>
  <si>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</si>
  <si>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</si>
  <si>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</si>
  <si>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</si>
  <si>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</si>
  <si>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</si>
  <si>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</si>
  <si>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</si>
  <si>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</si>
  <si>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</si>
  <si>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</si>
  <si>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</si>
  <si>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</si>
  <si>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</si>
  <si>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</si>
  <si>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</si>
  <si>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</si>
  <si>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</si>
  <si>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</si>
  <si>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</si>
  <si>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</si>
  <si>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</si>
  <si>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</si>
  <si>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</si>
  <si>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</si>
  <si>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</si>
  <si>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</si>
  <si>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</si>
  <si>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</si>
  <si>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</si>
  <si>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</si>
  <si>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</si>
  <si>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</si>
  <si>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</si>
  <si>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</si>
  <si>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</si>
  <si>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</si>
  <si>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</si>
  <si>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</si>
  <si>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</si>
  <si>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</si>
  <si>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</si>
  <si>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</si>
  <si>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</si>
  <si>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</si>
  <si>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</si>
  <si>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</si>
  <si>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</si>
  <si>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</si>
  <si>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</si>
  <si>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</si>
  <si>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</si>
  <si>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</si>
  <si>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</si>
  <si>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</si>
  <si>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</si>
  <si>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</si>
  <si>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</si>
  <si>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</si>
  <si>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</si>
  <si>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</si>
  <si>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</si>
  <si>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</si>
  <si>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</si>
  <si>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</si>
  <si>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</si>
  <si>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</si>
  <si>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</si>
  <si>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</si>
  <si>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</si>
  <si>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</si>
  <si>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</si>
  <si>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</si>
  <si>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</si>
  <si>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</si>
  <si>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</si>
  <si>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</si>
  <si>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</si>
  <si>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</si>
  <si>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</si>
  <si>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</si>
  <si>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</si>
  <si>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</si>
  <si>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</si>
  <si>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</si>
  <si>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</si>
  <si>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</si>
  <si>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</si>
  <si>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</si>
  <si>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</si>
  <si>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</si>
  <si>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</si>
  <si>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</si>
  <si>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</si>
  <si>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</si>
  <si>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</si>
  <si>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</si>
  <si>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</si>
  <si>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</si>
  <si>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</si>
  <si>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</si>
  <si>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</si>
  <si>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</si>
  <si>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</si>
  <si>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</si>
  <si>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</si>
  <si>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</si>
  <si>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</si>
  <si>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</si>
  <si>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</si>
  <si>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</si>
  <si>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</si>
  <si>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</si>
  <si>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</si>
  <si>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</si>
  <si>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</si>
  <si>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</si>
  <si>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</si>
  <si>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</si>
  <si>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</si>
  <si>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</si>
  <si>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</si>
  <si>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</si>
  <si>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</si>
  <si>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</si>
  <si>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</si>
  <si>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</si>
  <si>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</si>
  <si>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</si>
  <si>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</si>
  <si>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</si>
  <si>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</si>
  <si>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</si>
  <si>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</si>
  <si>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</si>
  <si>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</si>
  <si>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</si>
  <si>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</si>
  <si>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</si>
  <si>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</si>
  <si>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</si>
  <si>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</si>
  <si>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</si>
  <si>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</si>
  <si>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</si>
  <si>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</si>
  <si>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</si>
  <si>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</si>
  <si>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</si>
  <si>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</si>
  <si>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</si>
  <si>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</si>
  <si>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</si>
  <si>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</si>
  <si>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</si>
  <si>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</si>
  <si>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</si>
  <si>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</si>
  <si>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</si>
  <si>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</si>
  <si>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</si>
  <si>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</si>
  <si>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</si>
  <si>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</si>
  <si>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</si>
  <si>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</si>
  <si>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</si>
  <si>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</si>
  <si>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</si>
  <si>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</si>
  <si>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</si>
  <si>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</si>
  <si>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</si>
  <si>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</si>
  <si>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</si>
  <si>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</si>
  <si>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</si>
  <si>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</si>
  <si>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</si>
  <si>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</si>
  <si>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</si>
  <si>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</si>
  <si>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</si>
  <si>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</si>
  <si>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</si>
  <si>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</si>
  <si>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</si>
  <si>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</si>
  <si>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</si>
  <si>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</si>
  <si>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</si>
  <si>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</si>
  <si>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</si>
  <si>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</si>
  <si>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</si>
  <si>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</si>
  <si>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</si>
  <si>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</si>
  <si>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</si>
  <si>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</si>
  <si>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</si>
  <si>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</si>
  <si>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</si>
  <si>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</si>
  <si>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</si>
  <si>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</si>
  <si>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</si>
  <si>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</si>
  <si>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</si>
  <si>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</si>
  <si>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</si>
  <si>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</si>
  <si>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</si>
  <si>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</si>
  <si>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</si>
  <si>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</si>
  <si>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</si>
  <si>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</si>
  <si>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</si>
  <si>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</si>
  <si>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</si>
  <si>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</si>
  <si>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</si>
  <si>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</si>
  <si>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</si>
  <si>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</si>
  <si>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</si>
  <si>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</si>
  <si>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</si>
  <si>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</si>
  <si>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</si>
  <si>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</si>
  <si>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</si>
  <si>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</si>
  <si>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</si>
  <si>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</si>
  <si>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</si>
  <si>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</si>
  <si>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</si>
  <si>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</si>
  <si>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</si>
  <si>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</si>
  <si>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</si>
  <si>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</si>
  <si>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</si>
  <si>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</si>
  <si>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</si>
  <si>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</si>
  <si>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</si>
  <si>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</si>
  <si>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</si>
  <si>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</si>
  <si>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</si>
  <si>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</si>
  <si>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</si>
  <si>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</si>
  <si>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</si>
  <si>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</si>
  <si>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</si>
  <si>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</si>
  <si>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</si>
  <si>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</si>
  <si>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</si>
  <si>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</si>
  <si>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</si>
  <si>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</si>
  <si>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</si>
  <si>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</si>
  <si>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</si>
  <si>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</si>
  <si>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</si>
  <si>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</si>
  <si>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</si>
  <si>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</si>
  <si>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</si>
  <si>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</si>
  <si>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</si>
  <si>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</si>
  <si>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</si>
  <si>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</si>
  <si>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</si>
  <si>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</si>
  <si>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</si>
  <si>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</si>
  <si>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44011</t>
  </si>
  <si>
    <t>DEINZE</t>
  </si>
  <si>
    <t>Paarden&amp;pony's 200 - 600 kg</t>
  </si>
  <si>
    <t>Paarden&amp;pony's &lt; 200 kg</t>
  </si>
  <si>
    <t>Fluvius</t>
  </si>
  <si>
    <t xml:space="preserve">Bron: </t>
  </si>
  <si>
    <t>referentietaak LNE (2017); Jaarverslag De Lijn</t>
  </si>
  <si>
    <t>Dominique Lambert</t>
  </si>
  <si>
    <t>Oostmeersdreef 36 , 9800 Deinze</t>
  </si>
  <si>
    <t>WKK-0354 Dominique Lambert</t>
  </si>
  <si>
    <t>stirlingmotor</t>
  </si>
  <si>
    <t>GASELWEST</t>
  </si>
  <si>
    <t>Patoma bvba</t>
  </si>
  <si>
    <t>Wierookstraat 2 , 9800 Deinze</t>
  </si>
  <si>
    <t>WKK-0184 Patoma</t>
  </si>
  <si>
    <t>interne verbrandingsmotor</t>
  </si>
  <si>
    <t>WKK interne verbrandinsgmotor (gas)</t>
  </si>
  <si>
    <t>VC Energy bvba</t>
  </si>
  <si>
    <t>Moerstraat 30 , 9800 Deinze</t>
  </si>
  <si>
    <t>WKK-0219 VC Energy</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</si>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</sst>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44011</v>
      </c>
      <c r="B6" s="386"/>
      <c r="C6" s="387"/>
    </row>
    <row r="7" spans="1:7" s="384" customFormat="1" ht="15.75" customHeight="1">
      <c r="A7" s="388" t="str">
        <f>txtMunicipality</f>
        <v>DEINZE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55561.241141203391</v>
      </c>
      <c r="D10" s="676">
        <f ca="1">tertiair!C16</f>
        <v>1.875</v>
      </c>
      <c r="E10" s="676">
        <f ca="1">tertiair!D16</f>
        <v>51003.608215567365</v>
      </c>
      <c r="F10" s="676">
        <f>tertiair!E16</f>
        <v>824.29820365936314</v>
      </c>
      <c r="G10" s="676">
        <f ca="1">tertiair!F16</f>
        <v>10019.233929497723</v>
      </c>
      <c r="H10" s="676">
        <f>tertiair!G16</f>
        <v>0</v>
      </c>
      <c r="I10" s="676">
        <f>tertiair!H16</f>
        <v>0</v>
      </c>
      <c r="J10" s="676">
        <f>tertiair!I16</f>
        <v>0</v>
      </c>
      <c r="K10" s="676">
        <f>tertiair!J16</f>
        <v>0</v>
      </c>
      <c r="L10" s="676">
        <f>tertiair!K16</f>
        <v>0</v>
      </c>
      <c r="M10" s="676">
        <f ca="1">tertiair!L16</f>
        <v>0</v>
      </c>
      <c r="N10" s="676">
        <f>tertiair!M16</f>
        <v>0</v>
      </c>
      <c r="O10" s="676">
        <f ca="1">tertiair!N16</f>
        <v>1062.3734586303087</v>
      </c>
      <c r="P10" s="676">
        <f>tertiair!O16</f>
        <v>0</v>
      </c>
      <c r="Q10" s="677">
        <f>tertiair!P16</f>
        <v>76.266666666666666</v>
      </c>
      <c r="R10" s="679">
        <f ca="1">SUM(C10:Q10)</f>
        <v>118548.8966152248</v>
      </c>
      <c r="S10" s="67"/>
    </row>
    <row r="11" spans="1:19" s="445" customFormat="1">
      <c r="A11" s="791" t="s">
        <v>220</v>
      </c>
      <c r="B11" s="796"/>
      <c r="C11" s="676">
        <f>huishoudens!B8</f>
        <v>59006.94943237277</v>
      </c>
      <c r="D11" s="676">
        <f>huishoudens!C8</f>
        <v>0</v>
      </c>
      <c r="E11" s="676">
        <f>huishoudens!D8</f>
        <v>82077.392556285951</v>
      </c>
      <c r="F11" s="676">
        <f>huishoudens!E8</f>
        <v>3110.2175592275826</v>
      </c>
      <c r="G11" s="676">
        <f>huishoudens!F8</f>
        <v>106165.39669776232</v>
      </c>
      <c r="H11" s="676">
        <f>huishoudens!G8</f>
        <v>0</v>
      </c>
      <c r="I11" s="676">
        <f>huishoudens!H8</f>
        <v>0</v>
      </c>
      <c r="J11" s="676">
        <f>huishoudens!I8</f>
        <v>0</v>
      </c>
      <c r="K11" s="676">
        <f>huishoudens!J8</f>
        <v>2390.5755738640833</v>
      </c>
      <c r="L11" s="676">
        <f>huishoudens!K8</f>
        <v>0</v>
      </c>
      <c r="M11" s="676">
        <f>huishoudens!L8</f>
        <v>0</v>
      </c>
      <c r="N11" s="676">
        <f>huishoudens!M8</f>
        <v>0</v>
      </c>
      <c r="O11" s="676">
        <f>huishoudens!N8</f>
        <v>15238.073841503581</v>
      </c>
      <c r="P11" s="676">
        <f>huishoudens!O8</f>
        <v>182.91000000000003</v>
      </c>
      <c r="Q11" s="677">
        <f>huishoudens!P8</f>
        <v>438.5333333333333</v>
      </c>
      <c r="R11" s="679">
        <f>SUM(C11:Q11)</f>
        <v>268610.04899434955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81739.961401879482</v>
      </c>
      <c r="D13" s="676">
        <f>industrie!C18</f>
        <v>0</v>
      </c>
      <c r="E13" s="676">
        <f>industrie!D18</f>
        <v>70349.164986468706</v>
      </c>
      <c r="F13" s="676">
        <f>industrie!E18</f>
        <v>880.24085208728059</v>
      </c>
      <c r="G13" s="676">
        <f>industrie!F18</f>
        <v>22291.9096984797</v>
      </c>
      <c r="H13" s="676">
        <f>industrie!G18</f>
        <v>0</v>
      </c>
      <c r="I13" s="676">
        <f>industrie!H18</f>
        <v>0</v>
      </c>
      <c r="J13" s="676">
        <f>industrie!I18</f>
        <v>0</v>
      </c>
      <c r="K13" s="676">
        <f>industrie!J18</f>
        <v>280.86572302905097</v>
      </c>
      <c r="L13" s="676">
        <f>industrie!K18</f>
        <v>0</v>
      </c>
      <c r="M13" s="676">
        <f>industrie!L18</f>
        <v>0</v>
      </c>
      <c r="N13" s="676">
        <f>industrie!M18</f>
        <v>0</v>
      </c>
      <c r="O13" s="676">
        <f>industrie!N18</f>
        <v>2058.040075841368</v>
      </c>
      <c r="P13" s="676">
        <f>industrie!O18</f>
        <v>0</v>
      </c>
      <c r="Q13" s="677">
        <f>industrie!P18</f>
        <v>0</v>
      </c>
      <c r="R13" s="679">
        <f>SUM(C13:Q13)</f>
        <v>177600.18273778554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196308.15197545564</v>
      </c>
      <c r="D16" s="709">
        <f t="shared" ref="D16:R16" ca="1" si="0">SUM(D9:D15)</f>
        <v>1.875</v>
      </c>
      <c r="E16" s="709">
        <f t="shared" ca="1" si="0"/>
        <v>203430.16575832202</v>
      </c>
      <c r="F16" s="709">
        <f t="shared" si="0"/>
        <v>4814.7566149742261</v>
      </c>
      <c r="G16" s="709">
        <f t="shared" ca="1" si="0"/>
        <v>138476.54032573974</v>
      </c>
      <c r="H16" s="709">
        <f t="shared" si="0"/>
        <v>0</v>
      </c>
      <c r="I16" s="709">
        <f t="shared" si="0"/>
        <v>0</v>
      </c>
      <c r="J16" s="709">
        <f t="shared" si="0"/>
        <v>0</v>
      </c>
      <c r="K16" s="709">
        <f t="shared" si="0"/>
        <v>2671.4412968931342</v>
      </c>
      <c r="L16" s="709">
        <f t="shared" si="0"/>
        <v>0</v>
      </c>
      <c r="M16" s="709">
        <f t="shared" ca="1" si="0"/>
        <v>0</v>
      </c>
      <c r="N16" s="709">
        <f t="shared" si="0"/>
        <v>0</v>
      </c>
      <c r="O16" s="709">
        <f t="shared" ca="1" si="0"/>
        <v>18358.487375975259</v>
      </c>
      <c r="P16" s="709">
        <f t="shared" si="0"/>
        <v>182.91000000000003</v>
      </c>
      <c r="Q16" s="709">
        <f t="shared" si="0"/>
        <v>514.79999999999995</v>
      </c>
      <c r="R16" s="709">
        <f t="shared" ca="1" si="0"/>
        <v>564759.12834735983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10.571945081064735</v>
      </c>
      <c r="D19" s="676">
        <f>transport!C54</f>
        <v>0</v>
      </c>
      <c r="E19" s="676">
        <f>transport!D54</f>
        <v>0</v>
      </c>
      <c r="F19" s="676">
        <f>transport!E54</f>
        <v>0</v>
      </c>
      <c r="G19" s="676">
        <f>transport!F54</f>
        <v>0</v>
      </c>
      <c r="H19" s="676">
        <f>transport!G54</f>
        <v>2293.4773445058518</v>
      </c>
      <c r="I19" s="676">
        <f>transport!H54</f>
        <v>0</v>
      </c>
      <c r="J19" s="676">
        <f>transport!I54</f>
        <v>0</v>
      </c>
      <c r="K19" s="676">
        <f>transport!J54</f>
        <v>0</v>
      </c>
      <c r="L19" s="676">
        <f>transport!K54</f>
        <v>0</v>
      </c>
      <c r="M19" s="676">
        <f>transport!L54</f>
        <v>0</v>
      </c>
      <c r="N19" s="676">
        <f>transport!M54</f>
        <v>98.197890074120849</v>
      </c>
      <c r="O19" s="676">
        <f>transport!N54</f>
        <v>0</v>
      </c>
      <c r="P19" s="676">
        <f>transport!O54</f>
        <v>0</v>
      </c>
      <c r="Q19" s="677">
        <f>transport!P54</f>
        <v>0</v>
      </c>
      <c r="R19" s="679">
        <f>SUM(C19:Q19)</f>
        <v>2402.2471796610375</v>
      </c>
      <c r="S19" s="67"/>
    </row>
    <row r="20" spans="1:19" s="445" customFormat="1">
      <c r="A20" s="791" t="s">
        <v>302</v>
      </c>
      <c r="B20" s="796"/>
      <c r="C20" s="676">
        <f>transport!B14</f>
        <v>1.7209049526562634</v>
      </c>
      <c r="D20" s="676">
        <f>transport!C14</f>
        <v>0</v>
      </c>
      <c r="E20" s="676">
        <f>transport!D14</f>
        <v>5.9187208283559869</v>
      </c>
      <c r="F20" s="676">
        <f>transport!E14</f>
        <v>606.14689928295229</v>
      </c>
      <c r="G20" s="676">
        <f>transport!F14</f>
        <v>0</v>
      </c>
      <c r="H20" s="676">
        <f>transport!G14</f>
        <v>120342.51251572731</v>
      </c>
      <c r="I20" s="676">
        <f>transport!H14</f>
        <v>19381.435809288876</v>
      </c>
      <c r="J20" s="676">
        <f>transport!I14</f>
        <v>0</v>
      </c>
      <c r="K20" s="676">
        <f>transport!J14</f>
        <v>0</v>
      </c>
      <c r="L20" s="676">
        <f>transport!K14</f>
        <v>0</v>
      </c>
      <c r="M20" s="676">
        <f>transport!L14</f>
        <v>0</v>
      </c>
      <c r="N20" s="676">
        <f>transport!M14</f>
        <v>6076.2881303395397</v>
      </c>
      <c r="O20" s="676">
        <f>transport!N14</f>
        <v>0</v>
      </c>
      <c r="P20" s="676">
        <f>transport!O14</f>
        <v>0</v>
      </c>
      <c r="Q20" s="677">
        <f>transport!P14</f>
        <v>0</v>
      </c>
      <c r="R20" s="679">
        <f>SUM(C20:Q20)</f>
        <v>146414.02298041969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12.292850033720999</v>
      </c>
      <c r="D22" s="794">
        <f t="shared" ref="D22:R22" si="1">SUM(D18:D21)</f>
        <v>0</v>
      </c>
      <c r="E22" s="794">
        <f t="shared" si="1"/>
        <v>5.9187208283559869</v>
      </c>
      <c r="F22" s="794">
        <f t="shared" si="1"/>
        <v>606.14689928295229</v>
      </c>
      <c r="G22" s="794">
        <f t="shared" si="1"/>
        <v>0</v>
      </c>
      <c r="H22" s="794">
        <f t="shared" si="1"/>
        <v>122635.98986023317</v>
      </c>
      <c r="I22" s="794">
        <f t="shared" si="1"/>
        <v>19381.435809288876</v>
      </c>
      <c r="J22" s="794">
        <f t="shared" si="1"/>
        <v>0</v>
      </c>
      <c r="K22" s="794">
        <f t="shared" si="1"/>
        <v>0</v>
      </c>
      <c r="L22" s="794">
        <f t="shared" si="1"/>
        <v>0</v>
      </c>
      <c r="M22" s="794">
        <f t="shared" si="1"/>
        <v>0</v>
      </c>
      <c r="N22" s="794">
        <f t="shared" si="1"/>
        <v>6174.4860204136603</v>
      </c>
      <c r="O22" s="794">
        <f t="shared" si="1"/>
        <v>0</v>
      </c>
      <c r="P22" s="794">
        <f t="shared" si="1"/>
        <v>0</v>
      </c>
      <c r="Q22" s="794">
        <f t="shared" si="1"/>
        <v>0</v>
      </c>
      <c r="R22" s="794">
        <f t="shared" si="1"/>
        <v>148816.27016008072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4732.047669466353</v>
      </c>
      <c r="D24" s="676">
        <f>+landbouw!C8</f>
        <v>30882.857142857145</v>
      </c>
      <c r="E24" s="676">
        <f>+landbouw!D8</f>
        <v>3116.9572316657141</v>
      </c>
      <c r="F24" s="676">
        <f>+landbouw!E8</f>
        <v>49.555027641195402</v>
      </c>
      <c r="G24" s="676">
        <f>+landbouw!F8</f>
        <v>20256.75961791533</v>
      </c>
      <c r="H24" s="676">
        <f>+landbouw!G8</f>
        <v>0</v>
      </c>
      <c r="I24" s="676">
        <f>+landbouw!H8</f>
        <v>0</v>
      </c>
      <c r="J24" s="676">
        <f>+landbouw!I8</f>
        <v>0</v>
      </c>
      <c r="K24" s="676">
        <f>+landbouw!J8</f>
        <v>422.61427095017626</v>
      </c>
      <c r="L24" s="676">
        <f>+landbouw!K8</f>
        <v>0</v>
      </c>
      <c r="M24" s="676">
        <f>+landbouw!L8</f>
        <v>0</v>
      </c>
      <c r="N24" s="676">
        <f>+landbouw!M8</f>
        <v>0</v>
      </c>
      <c r="O24" s="676">
        <f>+landbouw!N8</f>
        <v>0</v>
      </c>
      <c r="P24" s="676">
        <f>+landbouw!O8</f>
        <v>0</v>
      </c>
      <c r="Q24" s="677">
        <f>+landbouw!P8</f>
        <v>0</v>
      </c>
      <c r="R24" s="679">
        <f>SUM(C24:Q24)</f>
        <v>59460.790960495913</v>
      </c>
      <c r="S24" s="67"/>
    </row>
    <row r="25" spans="1:19" s="445" customFormat="1" ht="15" thickBot="1">
      <c r="A25" s="813" t="s">
        <v>895</v>
      </c>
      <c r="B25" s="968"/>
      <c r="C25" s="969">
        <f>IF(Onbekend_ele_kWh="---",0,Onbekend_ele_kWh)/1000+IF(REST_rest_ele_kWh="---",0,REST_rest_ele_kWh)/1000</f>
        <v>3942.9887145410903</v>
      </c>
      <c r="D25" s="969"/>
      <c r="E25" s="969">
        <f>IF(onbekend_gas_kWh="---",0,onbekend_gas_kWh)/1000+IF(REST_rest_gas_kWh="---",0,REST_rest_gas_kWh)/1000</f>
        <v>5314.65025650398</v>
      </c>
      <c r="F25" s="969"/>
      <c r="G25" s="969"/>
      <c r="H25" s="969"/>
      <c r="I25" s="969"/>
      <c r="J25" s="969"/>
      <c r="K25" s="969"/>
      <c r="L25" s="969"/>
      <c r="M25" s="969"/>
      <c r="N25" s="969"/>
      <c r="O25" s="969"/>
      <c r="P25" s="969"/>
      <c r="Q25" s="970"/>
      <c r="R25" s="679">
        <f>SUM(C25:Q25)</f>
        <v>9257.6389710450712</v>
      </c>
      <c r="S25" s="67"/>
    </row>
    <row r="26" spans="1:19" s="445" customFormat="1" ht="15.75" thickBot="1">
      <c r="A26" s="682" t="s">
        <v>896</v>
      </c>
      <c r="B26" s="799"/>
      <c r="C26" s="794">
        <f>SUM(C24:C25)</f>
        <v>8675.0363840074424</v>
      </c>
      <c r="D26" s="794">
        <f t="shared" ref="D26:R26" si="2">SUM(D24:D25)</f>
        <v>30882.857142857145</v>
      </c>
      <c r="E26" s="794">
        <f t="shared" si="2"/>
        <v>8431.607488169695</v>
      </c>
      <c r="F26" s="794">
        <f t="shared" si="2"/>
        <v>49.555027641195402</v>
      </c>
      <c r="G26" s="794">
        <f t="shared" si="2"/>
        <v>20256.75961791533</v>
      </c>
      <c r="H26" s="794">
        <f t="shared" si="2"/>
        <v>0</v>
      </c>
      <c r="I26" s="794">
        <f t="shared" si="2"/>
        <v>0</v>
      </c>
      <c r="J26" s="794">
        <f t="shared" si="2"/>
        <v>0</v>
      </c>
      <c r="K26" s="794">
        <f t="shared" si="2"/>
        <v>422.61427095017626</v>
      </c>
      <c r="L26" s="794">
        <f t="shared" si="2"/>
        <v>0</v>
      </c>
      <c r="M26" s="794">
        <f t="shared" si="2"/>
        <v>0</v>
      </c>
      <c r="N26" s="794">
        <f t="shared" si="2"/>
        <v>0</v>
      </c>
      <c r="O26" s="794">
        <f t="shared" si="2"/>
        <v>0</v>
      </c>
      <c r="P26" s="794">
        <f t="shared" si="2"/>
        <v>0</v>
      </c>
      <c r="Q26" s="794">
        <f t="shared" si="2"/>
        <v>0</v>
      </c>
      <c r="R26" s="794">
        <f t="shared" si="2"/>
        <v>68718.429931540988</v>
      </c>
      <c r="S26" s="67"/>
    </row>
    <row r="27" spans="1:19" s="445" customFormat="1" ht="17.25" thickTop="1" thickBot="1">
      <c r="A27" s="683" t="s">
        <v>115</v>
      </c>
      <c r="B27" s="786"/>
      <c r="C27" s="684">
        <f ca="1">C22+C16+C26</f>
        <v>204995.48120949679</v>
      </c>
      <c r="D27" s="684">
        <f t="shared" ref="D27:R27" ca="1" si="3">D22+D16+D26</f>
        <v>30884.732142857145</v>
      </c>
      <c r="E27" s="684">
        <f t="shared" ca="1" si="3"/>
        <v>211867.69196732008</v>
      </c>
      <c r="F27" s="684">
        <f t="shared" si="3"/>
        <v>5470.4585418983734</v>
      </c>
      <c r="G27" s="684">
        <f t="shared" ca="1" si="3"/>
        <v>158733.29994365506</v>
      </c>
      <c r="H27" s="684">
        <f t="shared" si="3"/>
        <v>122635.98986023317</v>
      </c>
      <c r="I27" s="684">
        <f t="shared" si="3"/>
        <v>19381.435809288876</v>
      </c>
      <c r="J27" s="684">
        <f t="shared" si="3"/>
        <v>0</v>
      </c>
      <c r="K27" s="684">
        <f t="shared" si="3"/>
        <v>3094.0555678433107</v>
      </c>
      <c r="L27" s="684">
        <f t="shared" si="3"/>
        <v>0</v>
      </c>
      <c r="M27" s="684">
        <f t="shared" ca="1" si="3"/>
        <v>0</v>
      </c>
      <c r="N27" s="684">
        <f t="shared" si="3"/>
        <v>6174.4860204136603</v>
      </c>
      <c r="O27" s="684">
        <f t="shared" ca="1" si="3"/>
        <v>18358.487375975259</v>
      </c>
      <c r="P27" s="684">
        <f t="shared" si="3"/>
        <v>182.91000000000003</v>
      </c>
      <c r="Q27" s="684">
        <f t="shared" si="3"/>
        <v>514.79999999999995</v>
      </c>
      <c r="R27" s="684">
        <f t="shared" ca="1" si="3"/>
        <v>782293.82843898155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11310.378525150556</v>
      </c>
      <c r="D40" s="676">
        <f ca="1">tertiair!C20</f>
        <v>0.18551726020296758</v>
      </c>
      <c r="E40" s="676">
        <f ca="1">tertiair!D20</f>
        <v>10302.728859544608</v>
      </c>
      <c r="F40" s="676">
        <f>tertiair!E20</f>
        <v>187.11569223067545</v>
      </c>
      <c r="G40" s="676">
        <f ca="1">tertiair!F20</f>
        <v>2675.1354591758923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24475.544053361937</v>
      </c>
    </row>
    <row r="41" spans="1:18">
      <c r="A41" s="804" t="s">
        <v>220</v>
      </c>
      <c r="B41" s="811"/>
      <c r="C41" s="676">
        <f ca="1">huishoudens!B12</f>
        <v>12011.807511614899</v>
      </c>
      <c r="D41" s="676">
        <f ca="1">huishoudens!C12</f>
        <v>0</v>
      </c>
      <c r="E41" s="676">
        <f>huishoudens!D12</f>
        <v>16579.633296369764</v>
      </c>
      <c r="F41" s="676">
        <f>huishoudens!E12</f>
        <v>706.01938594466128</v>
      </c>
      <c r="G41" s="676">
        <f>huishoudens!F12</f>
        <v>28346.160918302539</v>
      </c>
      <c r="H41" s="676">
        <f>huishoudens!G12</f>
        <v>0</v>
      </c>
      <c r="I41" s="676">
        <f>huishoudens!H12</f>
        <v>0</v>
      </c>
      <c r="J41" s="676">
        <f>huishoudens!I12</f>
        <v>0</v>
      </c>
      <c r="K41" s="676">
        <f>huishoudens!J12</f>
        <v>846.26375314788538</v>
      </c>
      <c r="L41" s="676">
        <f>huishoudens!K12</f>
        <v>0</v>
      </c>
      <c r="M41" s="676">
        <f>huishoudens!L12</f>
        <v>0</v>
      </c>
      <c r="N41" s="676">
        <f>huishoudens!M12</f>
        <v>0</v>
      </c>
      <c r="O41" s="676">
        <f>huishoudens!N12</f>
        <v>0</v>
      </c>
      <c r="P41" s="676">
        <f>huishoudens!O12</f>
        <v>0</v>
      </c>
      <c r="Q41" s="751">
        <f>huishoudens!P12</f>
        <v>0</v>
      </c>
      <c r="R41" s="832">
        <f t="shared" ca="1" si="4"/>
        <v>58489.884865379747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16639.475380632743</v>
      </c>
      <c r="D43" s="676">
        <f ca="1">industrie!C22</f>
        <v>0</v>
      </c>
      <c r="E43" s="676">
        <f>industrie!D22</f>
        <v>14210.531327266679</v>
      </c>
      <c r="F43" s="676">
        <f>industrie!E22</f>
        <v>199.81467342381271</v>
      </c>
      <c r="G43" s="676">
        <f>industrie!F22</f>
        <v>5951.9398894940805</v>
      </c>
      <c r="H43" s="676">
        <f>industrie!G22</f>
        <v>0</v>
      </c>
      <c r="I43" s="676">
        <f>industrie!H22</f>
        <v>0</v>
      </c>
      <c r="J43" s="676">
        <f>industrie!I22</f>
        <v>0</v>
      </c>
      <c r="K43" s="676">
        <f>industrie!J22</f>
        <v>99.426465952284033</v>
      </c>
      <c r="L43" s="676">
        <f>industrie!K22</f>
        <v>0</v>
      </c>
      <c r="M43" s="676">
        <f>industrie!L22</f>
        <v>0</v>
      </c>
      <c r="N43" s="676">
        <f>industrie!M22</f>
        <v>0</v>
      </c>
      <c r="O43" s="676">
        <f>industrie!N22</f>
        <v>0</v>
      </c>
      <c r="P43" s="676">
        <f>industrie!O22</f>
        <v>0</v>
      </c>
      <c r="Q43" s="751">
        <f>industrie!P22</f>
        <v>0</v>
      </c>
      <c r="R43" s="831">
        <f t="shared" ca="1" si="4"/>
        <v>37101.1877367696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39961.661417398194</v>
      </c>
      <c r="D46" s="709">
        <f t="shared" ref="D46:Q46" ca="1" si="5">SUM(D39:D45)</f>
        <v>0.18551726020296758</v>
      </c>
      <c r="E46" s="709">
        <f t="shared" ca="1" si="5"/>
        <v>41092.893483181047</v>
      </c>
      <c r="F46" s="709">
        <f t="shared" si="5"/>
        <v>1092.9497515991495</v>
      </c>
      <c r="G46" s="709">
        <f t="shared" ca="1" si="5"/>
        <v>36973.236266972512</v>
      </c>
      <c r="H46" s="709">
        <f t="shared" si="5"/>
        <v>0</v>
      </c>
      <c r="I46" s="709">
        <f t="shared" si="5"/>
        <v>0</v>
      </c>
      <c r="J46" s="709">
        <f t="shared" si="5"/>
        <v>0</v>
      </c>
      <c r="K46" s="709">
        <f t="shared" si="5"/>
        <v>945.69021910016943</v>
      </c>
      <c r="L46" s="709">
        <f t="shared" si="5"/>
        <v>0</v>
      </c>
      <c r="M46" s="709">
        <f t="shared" ca="1" si="5"/>
        <v>0</v>
      </c>
      <c r="N46" s="709">
        <f t="shared" si="5"/>
        <v>0</v>
      </c>
      <c r="O46" s="709">
        <f t="shared" ca="1" si="5"/>
        <v>0</v>
      </c>
      <c r="P46" s="709">
        <f t="shared" si="5"/>
        <v>0</v>
      </c>
      <c r="Q46" s="709">
        <f t="shared" si="5"/>
        <v>0</v>
      </c>
      <c r="R46" s="709">
        <f ca="1">SUM(R39:R45)</f>
        <v>120066.61665551129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2.1520883651620282</v>
      </c>
      <c r="D49" s="676">
        <f ca="1">transport!C58</f>
        <v>0</v>
      </c>
      <c r="E49" s="676">
        <f>transport!D58</f>
        <v>0</v>
      </c>
      <c r="F49" s="676">
        <f>transport!E58</f>
        <v>0</v>
      </c>
      <c r="G49" s="676">
        <f>transport!F58</f>
        <v>0</v>
      </c>
      <c r="H49" s="676">
        <f>transport!G58</f>
        <v>612.35845098306243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614.51053934822448</v>
      </c>
    </row>
    <row r="50" spans="1:18">
      <c r="A50" s="807" t="s">
        <v>302</v>
      </c>
      <c r="B50" s="817"/>
      <c r="C50" s="975">
        <f ca="1">transport!B18</f>
        <v>0.35031770386270866</v>
      </c>
      <c r="D50" s="975">
        <f>transport!C18</f>
        <v>0</v>
      </c>
      <c r="E50" s="975">
        <f>transport!D18</f>
        <v>1.1955816073279095</v>
      </c>
      <c r="F50" s="975">
        <f>transport!E18</f>
        <v>137.59534613723017</v>
      </c>
      <c r="G50" s="975">
        <f>transport!F18</f>
        <v>0</v>
      </c>
      <c r="H50" s="975">
        <f>transport!G18</f>
        <v>32131.450841699196</v>
      </c>
      <c r="I50" s="975">
        <f>transport!H18</f>
        <v>4825.9775165129304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37096.569603660544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2.5024060690247367</v>
      </c>
      <c r="D52" s="709">
        <f t="shared" ref="D52:Q52" ca="1" si="6">SUM(D48:D51)</f>
        <v>0</v>
      </c>
      <c r="E52" s="709">
        <f t="shared" si="6"/>
        <v>1.1955816073279095</v>
      </c>
      <c r="F52" s="709">
        <f t="shared" si="6"/>
        <v>137.59534613723017</v>
      </c>
      <c r="G52" s="709">
        <f t="shared" si="6"/>
        <v>0</v>
      </c>
      <c r="H52" s="709">
        <f t="shared" si="6"/>
        <v>32743.809292682257</v>
      </c>
      <c r="I52" s="709">
        <f t="shared" si="6"/>
        <v>4825.9775165129304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37711.080143008767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963.28392313451047</v>
      </c>
      <c r="D54" s="975">
        <f ca="1">+landbouw!C12</f>
        <v>3055.6282903373358</v>
      </c>
      <c r="E54" s="975">
        <f>+landbouw!D12</f>
        <v>629.6253607964743</v>
      </c>
      <c r="F54" s="975">
        <f>+landbouw!E12</f>
        <v>11.248991274551356</v>
      </c>
      <c r="G54" s="975">
        <f>+landbouw!F12</f>
        <v>5408.5548179833931</v>
      </c>
      <c r="H54" s="975">
        <f>+landbouw!G12</f>
        <v>0</v>
      </c>
      <c r="I54" s="975">
        <f>+landbouw!H12</f>
        <v>0</v>
      </c>
      <c r="J54" s="975">
        <f>+landbouw!I12</f>
        <v>0</v>
      </c>
      <c r="K54" s="975">
        <f>+landbouw!J12</f>
        <v>149.6054519163624</v>
      </c>
      <c r="L54" s="975">
        <f>+landbouw!K12</f>
        <v>0</v>
      </c>
      <c r="M54" s="975">
        <f>+landbouw!L12</f>
        <v>0</v>
      </c>
      <c r="N54" s="975">
        <f>+landbouw!M12</f>
        <v>0</v>
      </c>
      <c r="O54" s="975">
        <f>+landbouw!N12</f>
        <v>0</v>
      </c>
      <c r="P54" s="975">
        <f>+landbouw!O12</f>
        <v>0</v>
      </c>
      <c r="Q54" s="976">
        <f>+landbouw!P12</f>
        <v>0</v>
      </c>
      <c r="R54" s="708">
        <f ca="1">SUM(C54:Q54)</f>
        <v>10217.946835442628</v>
      </c>
    </row>
    <row r="55" spans="1:18" ht="15" thickBot="1">
      <c r="A55" s="807" t="s">
        <v>895</v>
      </c>
      <c r="B55" s="817"/>
      <c r="C55" s="975">
        <f ca="1">C25*'EF ele_warmte'!B12</f>
        <v>802.6583633817404</v>
      </c>
      <c r="D55" s="975"/>
      <c r="E55" s="975">
        <f>E25*EF_CO2_aardgas</f>
        <v>1073.5593518138041</v>
      </c>
      <c r="F55" s="975"/>
      <c r="G55" s="975"/>
      <c r="H55" s="975"/>
      <c r="I55" s="975"/>
      <c r="J55" s="975"/>
      <c r="K55" s="975"/>
      <c r="L55" s="975"/>
      <c r="M55" s="975"/>
      <c r="N55" s="975"/>
      <c r="O55" s="975"/>
      <c r="P55" s="975"/>
      <c r="Q55" s="976"/>
      <c r="R55" s="708">
        <f ca="1">SUM(C55:Q55)</f>
        <v>1876.2177151955445</v>
      </c>
    </row>
    <row r="56" spans="1:18" ht="15.75" thickBot="1">
      <c r="A56" s="805" t="s">
        <v>896</v>
      </c>
      <c r="B56" s="818"/>
      <c r="C56" s="709">
        <f ca="1">SUM(C54:C55)</f>
        <v>1765.942286516251</v>
      </c>
      <c r="D56" s="709">
        <f t="shared" ref="D56:Q56" ca="1" si="7">SUM(D54:D55)</f>
        <v>3055.6282903373358</v>
      </c>
      <c r="E56" s="709">
        <f t="shared" si="7"/>
        <v>1703.1847126102784</v>
      </c>
      <c r="F56" s="709">
        <f t="shared" si="7"/>
        <v>11.248991274551356</v>
      </c>
      <c r="G56" s="709">
        <f t="shared" si="7"/>
        <v>5408.5548179833931</v>
      </c>
      <c r="H56" s="709">
        <f t="shared" si="7"/>
        <v>0</v>
      </c>
      <c r="I56" s="709">
        <f t="shared" si="7"/>
        <v>0</v>
      </c>
      <c r="J56" s="709">
        <f t="shared" si="7"/>
        <v>0</v>
      </c>
      <c r="K56" s="709">
        <f t="shared" si="7"/>
        <v>149.6054519163624</v>
      </c>
      <c r="L56" s="709">
        <f t="shared" si="7"/>
        <v>0</v>
      </c>
      <c r="M56" s="709">
        <f t="shared" si="7"/>
        <v>0</v>
      </c>
      <c r="N56" s="709">
        <f t="shared" si="7"/>
        <v>0</v>
      </c>
      <c r="O56" s="709">
        <f t="shared" si="7"/>
        <v>0</v>
      </c>
      <c r="P56" s="709">
        <f t="shared" si="7"/>
        <v>0</v>
      </c>
      <c r="Q56" s="710">
        <f t="shared" si="7"/>
        <v>0</v>
      </c>
      <c r="R56" s="711">
        <f ca="1">SUM(R54:R55)</f>
        <v>12094.164550638172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41730.10610998347</v>
      </c>
      <c r="D61" s="717">
        <f t="shared" ref="D61:Q61" ca="1" si="8">D46+D52+D56</f>
        <v>3055.8138075975389</v>
      </c>
      <c r="E61" s="717">
        <f t="shared" ca="1" si="8"/>
        <v>42797.273777398659</v>
      </c>
      <c r="F61" s="717">
        <f t="shared" si="8"/>
        <v>1241.794089010931</v>
      </c>
      <c r="G61" s="717">
        <f t="shared" ca="1" si="8"/>
        <v>42381.791084955905</v>
      </c>
      <c r="H61" s="717">
        <f t="shared" si="8"/>
        <v>32743.809292682257</v>
      </c>
      <c r="I61" s="717">
        <f t="shared" si="8"/>
        <v>4825.9775165129304</v>
      </c>
      <c r="J61" s="717">
        <f t="shared" si="8"/>
        <v>0</v>
      </c>
      <c r="K61" s="717">
        <f t="shared" si="8"/>
        <v>1095.2956710165317</v>
      </c>
      <c r="L61" s="717">
        <f t="shared" si="8"/>
        <v>0</v>
      </c>
      <c r="M61" s="717">
        <f t="shared" ca="1" si="8"/>
        <v>0</v>
      </c>
      <c r="N61" s="717">
        <f t="shared" si="8"/>
        <v>0</v>
      </c>
      <c r="O61" s="717">
        <f t="shared" ca="1" si="8"/>
        <v>0</v>
      </c>
      <c r="P61" s="717">
        <f t="shared" si="8"/>
        <v>0</v>
      </c>
      <c r="Q61" s="717">
        <f t="shared" si="8"/>
        <v>0</v>
      </c>
      <c r="R61" s="717">
        <f ca="1">R46+R52+R56</f>
        <v>169871.86134915822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0.20356598040001209</v>
      </c>
      <c r="D63" s="761">
        <f t="shared" ca="1" si="9"/>
        <v>9.8942538774916045E-2</v>
      </c>
      <c r="E63" s="977">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4231.7251991108506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12617.708171678683</v>
      </c>
      <c r="C76" s="727">
        <f>'lokale energieproductie'!B8*IFERROR(SUM(D76:H76)/SUM(D76:O76),0)</f>
        <v>9000.6668283213166</v>
      </c>
      <c r="D76" s="987">
        <f>'lokale energieproductie'!C8</f>
        <v>10588.994587565227</v>
      </c>
      <c r="E76" s="988">
        <f>'lokale energieproductie'!D8</f>
        <v>0</v>
      </c>
      <c r="F76" s="988">
        <f>'lokale energieproductie'!E8</f>
        <v>0</v>
      </c>
      <c r="G76" s="988">
        <f>'lokale energieproductie'!F8</f>
        <v>0</v>
      </c>
      <c r="H76" s="988">
        <f>'lokale energieproductie'!G8</f>
        <v>0</v>
      </c>
      <c r="I76" s="988">
        <f>'lokale energieproductie'!I8</f>
        <v>0</v>
      </c>
      <c r="J76" s="988">
        <f>'lokale energieproductie'!J8</f>
        <v>14844.327213287375</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2138.9769066881759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16849.433370789535</v>
      </c>
      <c r="C78" s="732">
        <f>SUM(C72:C77)</f>
        <v>9000.6668283213166</v>
      </c>
      <c r="D78" s="733">
        <f t="shared" ref="D78:H78" si="10">SUM(D76:D77)</f>
        <v>10588.994587565227</v>
      </c>
      <c r="E78" s="733">
        <f t="shared" si="10"/>
        <v>0</v>
      </c>
      <c r="F78" s="733">
        <f t="shared" si="10"/>
        <v>0</v>
      </c>
      <c r="G78" s="733">
        <f t="shared" si="10"/>
        <v>0</v>
      </c>
      <c r="H78" s="733">
        <f t="shared" si="10"/>
        <v>0</v>
      </c>
      <c r="I78" s="733">
        <f>SUM(I76:I77)</f>
        <v>0</v>
      </c>
      <c r="J78" s="733">
        <f>SUM(J76:J77)</f>
        <v>14844.327213287375</v>
      </c>
      <c r="K78" s="733">
        <f t="shared" ref="K78:L78" si="11">SUM(K76:K77)</f>
        <v>0</v>
      </c>
      <c r="L78" s="733">
        <f t="shared" si="11"/>
        <v>0</v>
      </c>
      <c r="M78" s="733">
        <f>SUM(M76:M77)</f>
        <v>0</v>
      </c>
      <c r="N78" s="733">
        <f>SUM(N76:N77)</f>
        <v>0</v>
      </c>
      <c r="O78" s="842">
        <f>SUM(O76:O77)</f>
        <v>0</v>
      </c>
      <c r="P78" s="734">
        <v>0</v>
      </c>
      <c r="Q78" s="734">
        <f>SUM(Q76:Q77)</f>
        <v>2138.9769066881759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18026.079071115932</v>
      </c>
      <c r="C87" s="743">
        <f>'lokale energieproductie'!B17*IFERROR(SUM(D87:H87)/SUM(D87:O87),0)</f>
        <v>12858.653071741213</v>
      </c>
      <c r="D87" s="754">
        <f>'lokale energieproductie'!C17</f>
        <v>15127.791126720489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21207.101358141193</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3055.8138075975389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18026.079071115932</v>
      </c>
      <c r="C90" s="732">
        <f>SUM(C87:C89)</f>
        <v>12858.653071741213</v>
      </c>
      <c r="D90" s="732">
        <f t="shared" ref="D90:H90" si="12">SUM(D87:D89)</f>
        <v>15127.791126720489</v>
      </c>
      <c r="E90" s="732">
        <f t="shared" si="12"/>
        <v>0</v>
      </c>
      <c r="F90" s="732">
        <f t="shared" si="12"/>
        <v>0</v>
      </c>
      <c r="G90" s="732">
        <f t="shared" si="12"/>
        <v>0</v>
      </c>
      <c r="H90" s="732">
        <f t="shared" si="12"/>
        <v>0</v>
      </c>
      <c r="I90" s="732">
        <f>SUM(I87:I89)</f>
        <v>0</v>
      </c>
      <c r="J90" s="732">
        <f>SUM(J87:J89)</f>
        <v>21207.101358141193</v>
      </c>
      <c r="K90" s="732">
        <f t="shared" ref="K90:L90" si="13">SUM(K87:K89)</f>
        <v>0</v>
      </c>
      <c r="L90" s="732">
        <f t="shared" si="13"/>
        <v>0</v>
      </c>
      <c r="M90" s="732">
        <f>SUM(M87:M89)</f>
        <v>0</v>
      </c>
      <c r="N90" s="732">
        <f>SUM(N87:N89)</f>
        <v>0</v>
      </c>
      <c r="O90" s="732">
        <f>SUM(O87:O89)</f>
        <v>0</v>
      </c>
      <c r="P90" s="732">
        <v>0</v>
      </c>
      <c r="Q90" s="732">
        <f>SUM(Q87:Q89)</f>
        <v>3055.8138075975389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59006.94943237277</v>
      </c>
      <c r="C4" s="449">
        <f>huishoudens!C8</f>
        <v>0</v>
      </c>
      <c r="D4" s="449">
        <f>huishoudens!D8</f>
        <v>82077.392556285951</v>
      </c>
      <c r="E4" s="449">
        <f>huishoudens!E8</f>
        <v>3110.2175592275826</v>
      </c>
      <c r="F4" s="449">
        <f>huishoudens!F8</f>
        <v>106165.39669776232</v>
      </c>
      <c r="G4" s="449">
        <f>huishoudens!G8</f>
        <v>0</v>
      </c>
      <c r="H4" s="449">
        <f>huishoudens!H8</f>
        <v>0</v>
      </c>
      <c r="I4" s="449">
        <f>huishoudens!I8</f>
        <v>0</v>
      </c>
      <c r="J4" s="449">
        <f>huishoudens!J8</f>
        <v>2390.5755738640833</v>
      </c>
      <c r="K4" s="449">
        <f>huishoudens!K8</f>
        <v>0</v>
      </c>
      <c r="L4" s="449">
        <f>huishoudens!L8</f>
        <v>0</v>
      </c>
      <c r="M4" s="449">
        <f>huishoudens!M8</f>
        <v>0</v>
      </c>
      <c r="N4" s="449">
        <f>huishoudens!N8</f>
        <v>15238.073841503581</v>
      </c>
      <c r="O4" s="449">
        <f>huishoudens!O8</f>
        <v>182.91000000000003</v>
      </c>
      <c r="P4" s="450">
        <f>huishoudens!P8</f>
        <v>438.5333333333333</v>
      </c>
      <c r="Q4" s="451">
        <f>SUM(B4:P4)</f>
        <v>268610.04899434955</v>
      </c>
    </row>
    <row r="5" spans="1:17">
      <c r="A5" s="448" t="s">
        <v>155</v>
      </c>
      <c r="B5" s="449">
        <f ca="1">tertiair!B16</f>
        <v>52869.524141203394</v>
      </c>
      <c r="C5" s="449">
        <f ca="1">tertiair!C16</f>
        <v>1.875</v>
      </c>
      <c r="D5" s="449">
        <f ca="1">tertiair!D16</f>
        <v>51003.608215567365</v>
      </c>
      <c r="E5" s="449">
        <f>tertiair!E16</f>
        <v>824.29820365936314</v>
      </c>
      <c r="F5" s="449">
        <f ca="1">tertiair!F16</f>
        <v>10019.233929497723</v>
      </c>
      <c r="G5" s="449">
        <f>tertiair!G16</f>
        <v>0</v>
      </c>
      <c r="H5" s="449">
        <f>tertiair!H16</f>
        <v>0</v>
      </c>
      <c r="I5" s="449">
        <f>tertiair!I16</f>
        <v>0</v>
      </c>
      <c r="J5" s="449">
        <f>tertiair!J16</f>
        <v>0</v>
      </c>
      <c r="K5" s="449">
        <f>tertiair!K16</f>
        <v>0</v>
      </c>
      <c r="L5" s="449">
        <f ca="1">tertiair!L16</f>
        <v>0</v>
      </c>
      <c r="M5" s="449">
        <f>tertiair!M16</f>
        <v>0</v>
      </c>
      <c r="N5" s="449">
        <f ca="1">tertiair!N16</f>
        <v>1062.3734586303087</v>
      </c>
      <c r="O5" s="449">
        <f>tertiair!O16</f>
        <v>0</v>
      </c>
      <c r="P5" s="450">
        <f>tertiair!P16</f>
        <v>76.266666666666666</v>
      </c>
      <c r="Q5" s="448">
        <f t="shared" ref="Q5:Q14" ca="1" si="0">SUM(B5:P5)</f>
        <v>115857.17961522481</v>
      </c>
    </row>
    <row r="6" spans="1:17">
      <c r="A6" s="448" t="s">
        <v>193</v>
      </c>
      <c r="B6" s="449">
        <f>'openbare verlichting'!B8</f>
        <v>2691.7170000000001</v>
      </c>
      <c r="C6" s="449"/>
      <c r="D6" s="449"/>
      <c r="E6" s="449"/>
      <c r="F6" s="449"/>
      <c r="G6" s="449"/>
      <c r="H6" s="449"/>
      <c r="I6" s="449"/>
      <c r="J6" s="449"/>
      <c r="K6" s="449"/>
      <c r="L6" s="449"/>
      <c r="M6" s="449"/>
      <c r="N6" s="449"/>
      <c r="O6" s="449"/>
      <c r="P6" s="450"/>
      <c r="Q6" s="448">
        <f t="shared" si="0"/>
        <v>2691.7170000000001</v>
      </c>
    </row>
    <row r="7" spans="1:17">
      <c r="A7" s="448" t="s">
        <v>111</v>
      </c>
      <c r="B7" s="449">
        <f>landbouw!B8</f>
        <v>4732.047669466353</v>
      </c>
      <c r="C7" s="449">
        <f>landbouw!C8</f>
        <v>30882.857142857145</v>
      </c>
      <c r="D7" s="449">
        <f>landbouw!D8</f>
        <v>3116.9572316657141</v>
      </c>
      <c r="E7" s="449">
        <f>landbouw!E8</f>
        <v>49.555027641195402</v>
      </c>
      <c r="F7" s="449">
        <f>landbouw!F8</f>
        <v>20256.75961791533</v>
      </c>
      <c r="G7" s="449">
        <f>landbouw!G8</f>
        <v>0</v>
      </c>
      <c r="H7" s="449">
        <f>landbouw!H8</f>
        <v>0</v>
      </c>
      <c r="I7" s="449">
        <f>landbouw!I8</f>
        <v>0</v>
      </c>
      <c r="J7" s="449">
        <f>landbouw!J8</f>
        <v>422.61427095017626</v>
      </c>
      <c r="K7" s="449">
        <f>landbouw!K8</f>
        <v>0</v>
      </c>
      <c r="L7" s="449">
        <f>landbouw!L8</f>
        <v>0</v>
      </c>
      <c r="M7" s="449">
        <f>landbouw!M8</f>
        <v>0</v>
      </c>
      <c r="N7" s="449">
        <f>landbouw!N8</f>
        <v>0</v>
      </c>
      <c r="O7" s="449">
        <f>landbouw!O8</f>
        <v>0</v>
      </c>
      <c r="P7" s="450">
        <f>landbouw!P8</f>
        <v>0</v>
      </c>
      <c r="Q7" s="448">
        <f t="shared" si="0"/>
        <v>59460.790960495913</v>
      </c>
    </row>
    <row r="8" spans="1:17">
      <c r="A8" s="448" t="s">
        <v>643</v>
      </c>
      <c r="B8" s="449">
        <f>industrie!B18</f>
        <v>81739.961401879482</v>
      </c>
      <c r="C8" s="449">
        <f>industrie!C18</f>
        <v>0</v>
      </c>
      <c r="D8" s="449">
        <f>industrie!D18</f>
        <v>70349.164986468706</v>
      </c>
      <c r="E8" s="449">
        <f>industrie!E18</f>
        <v>880.24085208728059</v>
      </c>
      <c r="F8" s="449">
        <f>industrie!F18</f>
        <v>22291.9096984797</v>
      </c>
      <c r="G8" s="449">
        <f>industrie!G18</f>
        <v>0</v>
      </c>
      <c r="H8" s="449">
        <f>industrie!H18</f>
        <v>0</v>
      </c>
      <c r="I8" s="449">
        <f>industrie!I18</f>
        <v>0</v>
      </c>
      <c r="J8" s="449">
        <f>industrie!J18</f>
        <v>280.86572302905097</v>
      </c>
      <c r="K8" s="449">
        <f>industrie!K18</f>
        <v>0</v>
      </c>
      <c r="L8" s="449">
        <f>industrie!L18</f>
        <v>0</v>
      </c>
      <c r="M8" s="449">
        <f>industrie!M18</f>
        <v>0</v>
      </c>
      <c r="N8" s="449">
        <f>industrie!N18</f>
        <v>2058.040075841368</v>
      </c>
      <c r="O8" s="449">
        <f>industrie!O18</f>
        <v>0</v>
      </c>
      <c r="P8" s="450">
        <f>industrie!P18</f>
        <v>0</v>
      </c>
      <c r="Q8" s="448">
        <f t="shared" si="0"/>
        <v>177600.18273778554</v>
      </c>
    </row>
    <row r="9" spans="1:17" s="454" customFormat="1">
      <c r="A9" s="452" t="s">
        <v>562</v>
      </c>
      <c r="B9" s="453">
        <f>transport!B14</f>
        <v>1.7209049526562634</v>
      </c>
      <c r="C9" s="453">
        <f>transport!C14</f>
        <v>0</v>
      </c>
      <c r="D9" s="453">
        <f>transport!D14</f>
        <v>5.9187208283559869</v>
      </c>
      <c r="E9" s="453">
        <f>transport!E14</f>
        <v>606.14689928295229</v>
      </c>
      <c r="F9" s="453">
        <f>transport!F14</f>
        <v>0</v>
      </c>
      <c r="G9" s="453">
        <f>transport!G14</f>
        <v>120342.51251572731</v>
      </c>
      <c r="H9" s="453">
        <f>transport!H14</f>
        <v>19381.435809288876</v>
      </c>
      <c r="I9" s="453">
        <f>transport!I14</f>
        <v>0</v>
      </c>
      <c r="J9" s="453">
        <f>transport!J14</f>
        <v>0</v>
      </c>
      <c r="K9" s="453">
        <f>transport!K14</f>
        <v>0</v>
      </c>
      <c r="L9" s="453">
        <f>transport!L14</f>
        <v>0</v>
      </c>
      <c r="M9" s="453">
        <f>transport!M14</f>
        <v>6076.2881303395397</v>
      </c>
      <c r="N9" s="453">
        <f>transport!N14</f>
        <v>0</v>
      </c>
      <c r="O9" s="453">
        <f>transport!O14</f>
        <v>0</v>
      </c>
      <c r="P9" s="453">
        <f>transport!P14</f>
        <v>0</v>
      </c>
      <c r="Q9" s="452">
        <f>SUM(B9:P9)</f>
        <v>146414.02298041969</v>
      </c>
    </row>
    <row r="10" spans="1:17">
      <c r="A10" s="448" t="s">
        <v>552</v>
      </c>
      <c r="B10" s="449">
        <f>transport!B54</f>
        <v>10.571945081064735</v>
      </c>
      <c r="C10" s="449">
        <f>transport!C54</f>
        <v>0</v>
      </c>
      <c r="D10" s="449">
        <f>transport!D54</f>
        <v>0</v>
      </c>
      <c r="E10" s="449">
        <f>transport!E54</f>
        <v>0</v>
      </c>
      <c r="F10" s="449">
        <f>transport!F54</f>
        <v>0</v>
      </c>
      <c r="G10" s="449">
        <f>transport!G54</f>
        <v>2293.4773445058518</v>
      </c>
      <c r="H10" s="449">
        <f>transport!H54</f>
        <v>0</v>
      </c>
      <c r="I10" s="449">
        <f>transport!I54</f>
        <v>0</v>
      </c>
      <c r="J10" s="449">
        <f>transport!J54</f>
        <v>0</v>
      </c>
      <c r="K10" s="449">
        <f>transport!K54</f>
        <v>0</v>
      </c>
      <c r="L10" s="449">
        <f>transport!L54</f>
        <v>0</v>
      </c>
      <c r="M10" s="449">
        <f>transport!M54</f>
        <v>98.197890074120849</v>
      </c>
      <c r="N10" s="449">
        <f>transport!N54</f>
        <v>0</v>
      </c>
      <c r="O10" s="449">
        <f>transport!O54</f>
        <v>0</v>
      </c>
      <c r="P10" s="450">
        <f>transport!P54</f>
        <v>0</v>
      </c>
      <c r="Q10" s="448">
        <f t="shared" si="0"/>
        <v>2402.2471796610375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3942.9887145410903</v>
      </c>
      <c r="C14" s="456"/>
      <c r="D14" s="456">
        <f>'SEAP template'!E25</f>
        <v>5314.65025650398</v>
      </c>
      <c r="E14" s="456"/>
      <c r="F14" s="456"/>
      <c r="G14" s="456"/>
      <c r="H14" s="456"/>
      <c r="I14" s="456"/>
      <c r="J14" s="456"/>
      <c r="K14" s="456"/>
      <c r="L14" s="456"/>
      <c r="M14" s="456"/>
      <c r="N14" s="456"/>
      <c r="O14" s="456"/>
      <c r="P14" s="457"/>
      <c r="Q14" s="448">
        <f t="shared" si="0"/>
        <v>9257.6389710450712</v>
      </c>
    </row>
    <row r="15" spans="1:17" s="461" customFormat="1">
      <c r="A15" s="458" t="s">
        <v>556</v>
      </c>
      <c r="B15" s="459">
        <f ca="1">SUM(B4:B14)</f>
        <v>204995.48120949679</v>
      </c>
      <c r="C15" s="459">
        <f t="shared" ref="C15:Q15" ca="1" si="1">SUM(C4:C14)</f>
        <v>30884.732142857145</v>
      </c>
      <c r="D15" s="459">
        <f t="shared" ca="1" si="1"/>
        <v>211867.6919673201</v>
      </c>
      <c r="E15" s="459">
        <f t="shared" si="1"/>
        <v>5470.4585418983743</v>
      </c>
      <c r="F15" s="459">
        <f t="shared" ca="1" si="1"/>
        <v>158733.29994365506</v>
      </c>
      <c r="G15" s="459">
        <f t="shared" si="1"/>
        <v>122635.98986023317</v>
      </c>
      <c r="H15" s="459">
        <f t="shared" si="1"/>
        <v>19381.435809288876</v>
      </c>
      <c r="I15" s="459">
        <f t="shared" si="1"/>
        <v>0</v>
      </c>
      <c r="J15" s="459">
        <f t="shared" si="1"/>
        <v>3094.0555678433107</v>
      </c>
      <c r="K15" s="459">
        <f t="shared" si="1"/>
        <v>0</v>
      </c>
      <c r="L15" s="459">
        <f t="shared" ca="1" si="1"/>
        <v>0</v>
      </c>
      <c r="M15" s="459">
        <f t="shared" si="1"/>
        <v>6174.4860204136603</v>
      </c>
      <c r="N15" s="459">
        <f t="shared" ca="1" si="1"/>
        <v>18358.487375975259</v>
      </c>
      <c r="O15" s="459">
        <f t="shared" si="1"/>
        <v>182.91000000000003</v>
      </c>
      <c r="P15" s="459">
        <f t="shared" si="1"/>
        <v>514.79999999999995</v>
      </c>
      <c r="Q15" s="459">
        <f t="shared" ca="1" si="1"/>
        <v>782293.82843898155</v>
      </c>
    </row>
    <row r="17" spans="1:17">
      <c r="A17" s="462" t="s">
        <v>557</v>
      </c>
      <c r="B17" s="766">
        <f ca="1">huishoudens!B10</f>
        <v>0.20356598040001209</v>
      </c>
      <c r="C17" s="766">
        <f ca="1">huishoudens!C10</f>
        <v>9.8942538774916045E-2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12011.807511614899</v>
      </c>
      <c r="C22" s="449">
        <f t="shared" ref="C22:C32" ca="1" si="3">C4*$C$17</f>
        <v>0</v>
      </c>
      <c r="D22" s="449">
        <f t="shared" ref="D22:D32" si="4">D4*$D$17</f>
        <v>16579.633296369764</v>
      </c>
      <c r="E22" s="449">
        <f t="shared" ref="E22:E32" si="5">E4*$E$17</f>
        <v>706.01938594466128</v>
      </c>
      <c r="F22" s="449">
        <f t="shared" ref="F22:F32" si="6">F4*$F$17</f>
        <v>28346.160918302539</v>
      </c>
      <c r="G22" s="449">
        <f t="shared" ref="G22:G32" si="7">G4*$G$17</f>
        <v>0</v>
      </c>
      <c r="H22" s="449">
        <f t="shared" ref="H22:H32" si="8">H4*$H$17</f>
        <v>0</v>
      </c>
      <c r="I22" s="449">
        <f t="shared" ref="I22:I32" si="9">I4*$I$17</f>
        <v>0</v>
      </c>
      <c r="J22" s="449">
        <f t="shared" ref="J22:J32" si="10">J4*$J$17</f>
        <v>846.26375314788538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58489.884865379747</v>
      </c>
    </row>
    <row r="23" spans="1:17">
      <c r="A23" s="448" t="s">
        <v>155</v>
      </c>
      <c r="B23" s="449">
        <f t="shared" ca="1" si="2"/>
        <v>10762.436515086176</v>
      </c>
      <c r="C23" s="449">
        <f t="shared" ca="1" si="3"/>
        <v>0.18551726020296758</v>
      </c>
      <c r="D23" s="449">
        <f t="shared" ca="1" si="4"/>
        <v>10302.728859544608</v>
      </c>
      <c r="E23" s="449">
        <f t="shared" si="5"/>
        <v>187.11569223067545</v>
      </c>
      <c r="F23" s="449">
        <f t="shared" ca="1" si="6"/>
        <v>2675.1354591758923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23927.602043297557</v>
      </c>
    </row>
    <row r="24" spans="1:17">
      <c r="A24" s="448" t="s">
        <v>193</v>
      </c>
      <c r="B24" s="449">
        <f t="shared" ca="1" si="2"/>
        <v>547.94201006437936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547.94201006437936</v>
      </c>
    </row>
    <row r="25" spans="1:17">
      <c r="A25" s="448" t="s">
        <v>111</v>
      </c>
      <c r="B25" s="449">
        <f t="shared" ca="1" si="2"/>
        <v>963.28392313451047</v>
      </c>
      <c r="C25" s="449">
        <f t="shared" ca="1" si="3"/>
        <v>3055.6282903373358</v>
      </c>
      <c r="D25" s="449">
        <f t="shared" si="4"/>
        <v>629.6253607964743</v>
      </c>
      <c r="E25" s="449">
        <f t="shared" si="5"/>
        <v>11.248991274551356</v>
      </c>
      <c r="F25" s="449">
        <f t="shared" si="6"/>
        <v>5408.5548179833931</v>
      </c>
      <c r="G25" s="449">
        <f t="shared" si="7"/>
        <v>0</v>
      </c>
      <c r="H25" s="449">
        <f t="shared" si="8"/>
        <v>0</v>
      </c>
      <c r="I25" s="449">
        <f t="shared" si="9"/>
        <v>0</v>
      </c>
      <c r="J25" s="449">
        <f t="shared" si="10"/>
        <v>149.6054519163624</v>
      </c>
      <c r="K25" s="449">
        <f t="shared" si="11"/>
        <v>0</v>
      </c>
      <c r="L25" s="449">
        <f t="shared" si="12"/>
        <v>0</v>
      </c>
      <c r="M25" s="449">
        <f t="shared" si="13"/>
        <v>0</v>
      </c>
      <c r="N25" s="449">
        <f t="shared" si="14"/>
        <v>0</v>
      </c>
      <c r="O25" s="449">
        <f t="shared" si="15"/>
        <v>0</v>
      </c>
      <c r="P25" s="450">
        <f t="shared" si="16"/>
        <v>0</v>
      </c>
      <c r="Q25" s="448">
        <f t="shared" ca="1" si="17"/>
        <v>10217.946835442628</v>
      </c>
    </row>
    <row r="26" spans="1:17">
      <c r="A26" s="448" t="s">
        <v>643</v>
      </c>
      <c r="B26" s="449">
        <f t="shared" ca="1" si="2"/>
        <v>16639.475380632743</v>
      </c>
      <c r="C26" s="449">
        <f t="shared" ca="1" si="3"/>
        <v>0</v>
      </c>
      <c r="D26" s="449">
        <f t="shared" si="4"/>
        <v>14210.531327266679</v>
      </c>
      <c r="E26" s="449">
        <f t="shared" si="5"/>
        <v>199.81467342381271</v>
      </c>
      <c r="F26" s="449">
        <f t="shared" si="6"/>
        <v>5951.9398894940805</v>
      </c>
      <c r="G26" s="449">
        <f t="shared" si="7"/>
        <v>0</v>
      </c>
      <c r="H26" s="449">
        <f t="shared" si="8"/>
        <v>0</v>
      </c>
      <c r="I26" s="449">
        <f t="shared" si="9"/>
        <v>0</v>
      </c>
      <c r="J26" s="449">
        <f t="shared" si="10"/>
        <v>99.426465952284033</v>
      </c>
      <c r="K26" s="449">
        <f t="shared" si="11"/>
        <v>0</v>
      </c>
      <c r="L26" s="449">
        <f t="shared" si="12"/>
        <v>0</v>
      </c>
      <c r="M26" s="449">
        <f t="shared" si="13"/>
        <v>0</v>
      </c>
      <c r="N26" s="449">
        <f t="shared" si="14"/>
        <v>0</v>
      </c>
      <c r="O26" s="449">
        <f t="shared" si="15"/>
        <v>0</v>
      </c>
      <c r="P26" s="450">
        <f t="shared" si="16"/>
        <v>0</v>
      </c>
      <c r="Q26" s="448">
        <f t="shared" ca="1" si="17"/>
        <v>37101.1877367696</v>
      </c>
    </row>
    <row r="27" spans="1:17" s="454" customFormat="1">
      <c r="A27" s="452" t="s">
        <v>562</v>
      </c>
      <c r="B27" s="760">
        <f t="shared" ca="1" si="2"/>
        <v>0.35031770386270866</v>
      </c>
      <c r="C27" s="453">
        <f t="shared" ca="1" si="3"/>
        <v>0</v>
      </c>
      <c r="D27" s="453">
        <f t="shared" si="4"/>
        <v>1.1955816073279095</v>
      </c>
      <c r="E27" s="453">
        <f t="shared" si="5"/>
        <v>137.59534613723017</v>
      </c>
      <c r="F27" s="453">
        <f t="shared" si="6"/>
        <v>0</v>
      </c>
      <c r="G27" s="453">
        <f t="shared" si="7"/>
        <v>32131.450841699196</v>
      </c>
      <c r="H27" s="453">
        <f t="shared" si="8"/>
        <v>4825.9775165129304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37096.569603660544</v>
      </c>
    </row>
    <row r="28" spans="1:17">
      <c r="A28" s="448" t="s">
        <v>552</v>
      </c>
      <c r="B28" s="449">
        <f t="shared" ca="1" si="2"/>
        <v>2.1520883651620282</v>
      </c>
      <c r="C28" s="449">
        <f t="shared" ca="1" si="3"/>
        <v>0</v>
      </c>
      <c r="D28" s="449">
        <f t="shared" si="4"/>
        <v>0</v>
      </c>
      <c r="E28" s="449">
        <f t="shared" si="5"/>
        <v>0</v>
      </c>
      <c r="F28" s="449">
        <f t="shared" si="6"/>
        <v>0</v>
      </c>
      <c r="G28" s="449">
        <f t="shared" si="7"/>
        <v>612.35845098306243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614.51053934822448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802.6583633817404</v>
      </c>
      <c r="C32" s="449">
        <f t="shared" ca="1" si="3"/>
        <v>0</v>
      </c>
      <c r="D32" s="449">
        <f t="shared" si="4"/>
        <v>1073.5593518138041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1876.2177151955445</v>
      </c>
    </row>
    <row r="33" spans="1:17" s="461" customFormat="1">
      <c r="A33" s="458" t="s">
        <v>556</v>
      </c>
      <c r="B33" s="459">
        <f ca="1">SUM(B22:B32)</f>
        <v>41730.106109983477</v>
      </c>
      <c r="C33" s="459">
        <f t="shared" ref="C33:Q33" ca="1" si="19">SUM(C22:C32)</f>
        <v>3055.8138075975389</v>
      </c>
      <c r="D33" s="459">
        <f t="shared" ca="1" si="19"/>
        <v>42797.273777398659</v>
      </c>
      <c r="E33" s="459">
        <f t="shared" si="19"/>
        <v>1241.794089010931</v>
      </c>
      <c r="F33" s="459">
        <f t="shared" ca="1" si="19"/>
        <v>42381.791084955912</v>
      </c>
      <c r="G33" s="459">
        <f t="shared" si="19"/>
        <v>32743.809292682257</v>
      </c>
      <c r="H33" s="459">
        <f t="shared" si="19"/>
        <v>4825.9775165129304</v>
      </c>
      <c r="I33" s="459">
        <f t="shared" si="19"/>
        <v>0</v>
      </c>
      <c r="J33" s="459">
        <f t="shared" si="19"/>
        <v>1095.2956710165317</v>
      </c>
      <c r="K33" s="459">
        <f t="shared" si="19"/>
        <v>0</v>
      </c>
      <c r="L33" s="459">
        <f t="shared" ca="1" si="19"/>
        <v>0</v>
      </c>
      <c r="M33" s="459">
        <f t="shared" si="19"/>
        <v>0</v>
      </c>
      <c r="N33" s="459">
        <f t="shared" ca="1" si="19"/>
        <v>0</v>
      </c>
      <c r="O33" s="459">
        <f t="shared" si="19"/>
        <v>0</v>
      </c>
      <c r="P33" s="459">
        <f t="shared" si="19"/>
        <v>0</v>
      </c>
      <c r="Q33" s="459">
        <f t="shared" ca="1" si="19"/>
        <v>169871.86134915822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4231.7251991108506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12617.708171678683</v>
      </c>
      <c r="C8" s="1008">
        <f>'SEAP template'!C76</f>
        <v>9000.6668283213166</v>
      </c>
      <c r="D8" s="1008">
        <f>'SEAP template'!D76</f>
        <v>10588.994587565227</v>
      </c>
      <c r="E8" s="1008">
        <f>'SEAP template'!E76</f>
        <v>0</v>
      </c>
      <c r="F8" s="1008">
        <f>'SEAP template'!F76</f>
        <v>0</v>
      </c>
      <c r="G8" s="1008">
        <f>'SEAP template'!G76</f>
        <v>0</v>
      </c>
      <c r="H8" s="1008">
        <f>'SEAP template'!H76</f>
        <v>0</v>
      </c>
      <c r="I8" s="1008">
        <f>'SEAP template'!I76</f>
        <v>0</v>
      </c>
      <c r="J8" s="1008">
        <f>'SEAP template'!J76</f>
        <v>14844.327213287375</v>
      </c>
      <c r="K8" s="1008">
        <f>'SEAP template'!K76</f>
        <v>0</v>
      </c>
      <c r="L8" s="1008">
        <f>'SEAP template'!L76</f>
        <v>0</v>
      </c>
      <c r="M8" s="1008">
        <f>'SEAP template'!M76</f>
        <v>0</v>
      </c>
      <c r="N8" s="1008">
        <f>'SEAP template'!N76</f>
        <v>0</v>
      </c>
      <c r="O8" s="1008">
        <f>'SEAP template'!O76</f>
        <v>0</v>
      </c>
      <c r="P8" s="1009">
        <f>'SEAP template'!Q76</f>
        <v>2138.9769066881759</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16849.433370789535</v>
      </c>
      <c r="C10" s="1012">
        <f>SUM(C4:C9)</f>
        <v>9000.6668283213166</v>
      </c>
      <c r="D10" s="1012">
        <f t="shared" ref="D10:H10" si="0">SUM(D8:D9)</f>
        <v>10588.994587565227</v>
      </c>
      <c r="E10" s="1012">
        <f t="shared" si="0"/>
        <v>0</v>
      </c>
      <c r="F10" s="1012">
        <f t="shared" si="0"/>
        <v>0</v>
      </c>
      <c r="G10" s="1012">
        <f t="shared" si="0"/>
        <v>0</v>
      </c>
      <c r="H10" s="1012">
        <f t="shared" si="0"/>
        <v>0</v>
      </c>
      <c r="I10" s="1012">
        <f>SUM(I8:I9)</f>
        <v>0</v>
      </c>
      <c r="J10" s="1012">
        <f>SUM(J8:J9)</f>
        <v>14844.327213287375</v>
      </c>
      <c r="K10" s="1012">
        <f t="shared" ref="K10:L10" si="1">SUM(K8:K9)</f>
        <v>0</v>
      </c>
      <c r="L10" s="1012">
        <f t="shared" si="1"/>
        <v>0</v>
      </c>
      <c r="M10" s="1012">
        <f>SUM(M8:M9)</f>
        <v>0</v>
      </c>
      <c r="N10" s="1012">
        <f>SUM(N8:N9)</f>
        <v>0</v>
      </c>
      <c r="O10" s="1012">
        <f>SUM(O8:O9)</f>
        <v>0</v>
      </c>
      <c r="P10" s="1012">
        <f>SUM(P8:P9)</f>
        <v>2138.9769066881759</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0.20356598040001209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18026.079071115932</v>
      </c>
      <c r="C17" s="1015">
        <f>'SEAP template'!C87</f>
        <v>12858.653071741213</v>
      </c>
      <c r="D17" s="1009">
        <f>'SEAP template'!D87</f>
        <v>15127.791126720489</v>
      </c>
      <c r="E17" s="1009">
        <f>'SEAP template'!E87</f>
        <v>0</v>
      </c>
      <c r="F17" s="1009">
        <f>'SEAP template'!F87</f>
        <v>0</v>
      </c>
      <c r="G17" s="1009">
        <f>'SEAP template'!G87</f>
        <v>0</v>
      </c>
      <c r="H17" s="1009">
        <f>'SEAP template'!H87</f>
        <v>0</v>
      </c>
      <c r="I17" s="1009">
        <f>'SEAP template'!I87</f>
        <v>0</v>
      </c>
      <c r="J17" s="1009">
        <f>'SEAP template'!J87</f>
        <v>21207.101358141193</v>
      </c>
      <c r="K17" s="1009">
        <f>'SEAP template'!K87</f>
        <v>0</v>
      </c>
      <c r="L17" s="1009">
        <f>'SEAP template'!L87</f>
        <v>0</v>
      </c>
      <c r="M17" s="1009">
        <f>'SEAP template'!M87</f>
        <v>0</v>
      </c>
      <c r="N17" s="1009">
        <f>'SEAP template'!N87</f>
        <v>0</v>
      </c>
      <c r="O17" s="1009">
        <f>'SEAP template'!O87</f>
        <v>0</v>
      </c>
      <c r="P17" s="1009">
        <f>'SEAP template'!Q87</f>
        <v>3055.8138075975389</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18026.079071115932</v>
      </c>
      <c r="C20" s="1012">
        <f>SUM(C17:C19)</f>
        <v>12858.653071741213</v>
      </c>
      <c r="D20" s="1012">
        <f t="shared" ref="D20:H20" si="2">SUM(D17:D19)</f>
        <v>15127.791126720489</v>
      </c>
      <c r="E20" s="1012">
        <f t="shared" si="2"/>
        <v>0</v>
      </c>
      <c r="F20" s="1012">
        <f t="shared" si="2"/>
        <v>0</v>
      </c>
      <c r="G20" s="1012">
        <f t="shared" si="2"/>
        <v>0</v>
      </c>
      <c r="H20" s="1012">
        <f t="shared" si="2"/>
        <v>0</v>
      </c>
      <c r="I20" s="1012">
        <f>SUM(I17:I19)</f>
        <v>0</v>
      </c>
      <c r="J20" s="1012">
        <f>SUM(J17:J19)</f>
        <v>21207.101358141193</v>
      </c>
      <c r="K20" s="1012">
        <f t="shared" ref="K20:L20" si="3">SUM(K17:K19)</f>
        <v>0</v>
      </c>
      <c r="L20" s="1012">
        <f t="shared" si="3"/>
        <v>0</v>
      </c>
      <c r="M20" s="1012">
        <f>SUM(M17:M19)</f>
        <v>0</v>
      </c>
      <c r="N20" s="1012">
        <f>SUM(N17:N19)</f>
        <v>0</v>
      </c>
      <c r="O20" s="1012">
        <f>SUM(O17:O19)</f>
        <v>0</v>
      </c>
      <c r="P20" s="1012">
        <f>SUM(P17:P19)</f>
        <v>3055.8138075975389</v>
      </c>
    </row>
    <row r="22" spans="1:16">
      <c r="A22" s="462" t="s">
        <v>916</v>
      </c>
      <c r="B22" s="766" t="s">
        <v>910</v>
      </c>
      <c r="C22" s="766">
        <f ca="1">'EF ele_warmte'!B22</f>
        <v>9.8942538774916045E-2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0.20356598040001209</v>
      </c>
      <c r="C17" s="498">
        <f ca="1">'EF ele_warmte'!B22</f>
        <v>9.8942538774916045E-2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0.20356598040001209</v>
      </c>
      <c r="C17" s="498">
        <f ca="1">'EF ele_warmte'!B22</f>
        <v>9.8942538774916045E-2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0.20356598040001209</v>
      </c>
      <c r="C29" s="499">
        <f ca="1">'EF ele_warmte'!B22</f>
        <v>9.8942538774916045E-2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12235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4682</v>
      </c>
      <c r="C14" s="326"/>
      <c r="D14" s="326"/>
      <c r="E14" s="326"/>
      <c r="F14" s="326"/>
    </row>
    <row r="15" spans="1:6">
      <c r="A15" s="1282" t="s">
        <v>183</v>
      </c>
      <c r="B15" s="1283">
        <v>75</v>
      </c>
      <c r="C15" s="326"/>
      <c r="D15" s="326"/>
      <c r="E15" s="326"/>
      <c r="F15" s="326"/>
    </row>
    <row r="16" spans="1:6">
      <c r="A16" s="1282" t="s">
        <v>6</v>
      </c>
      <c r="B16" s="1283">
        <v>2300</v>
      </c>
      <c r="C16" s="326"/>
      <c r="D16" s="326"/>
      <c r="E16" s="326"/>
      <c r="F16" s="326"/>
    </row>
    <row r="17" spans="1:6">
      <c r="A17" s="1282" t="s">
        <v>7</v>
      </c>
      <c r="B17" s="1283">
        <v>1804</v>
      </c>
      <c r="C17" s="326"/>
      <c r="D17" s="326"/>
      <c r="E17" s="326"/>
      <c r="F17" s="326"/>
    </row>
    <row r="18" spans="1:6">
      <c r="A18" s="1282" t="s">
        <v>8</v>
      </c>
      <c r="B18" s="1283">
        <v>2598</v>
      </c>
      <c r="C18" s="326"/>
      <c r="D18" s="326"/>
      <c r="E18" s="326"/>
      <c r="F18" s="326"/>
    </row>
    <row r="19" spans="1:6">
      <c r="A19" s="1282" t="s">
        <v>9</v>
      </c>
      <c r="B19" s="1283">
        <v>2416</v>
      </c>
      <c r="C19" s="326"/>
      <c r="D19" s="326"/>
      <c r="E19" s="326"/>
      <c r="F19" s="326"/>
    </row>
    <row r="20" spans="1:6">
      <c r="A20" s="1282" t="s">
        <v>10</v>
      </c>
      <c r="B20" s="1283">
        <v>1595</v>
      </c>
      <c r="C20" s="326"/>
      <c r="D20" s="326"/>
      <c r="E20" s="326"/>
      <c r="F20" s="326"/>
    </row>
    <row r="21" spans="1:6">
      <c r="A21" s="1282" t="s">
        <v>11</v>
      </c>
      <c r="B21" s="1283">
        <v>10717</v>
      </c>
      <c r="C21" s="326"/>
      <c r="D21" s="326"/>
      <c r="E21" s="326"/>
      <c r="F21" s="326"/>
    </row>
    <row r="22" spans="1:6">
      <c r="A22" s="1282" t="s">
        <v>12</v>
      </c>
      <c r="B22" s="1283">
        <v>36599</v>
      </c>
      <c r="C22" s="326"/>
      <c r="D22" s="326"/>
      <c r="E22" s="326"/>
      <c r="F22" s="326"/>
    </row>
    <row r="23" spans="1:6">
      <c r="A23" s="1282" t="s">
        <v>13</v>
      </c>
      <c r="B23" s="1283">
        <v>577</v>
      </c>
      <c r="C23" s="326"/>
      <c r="D23" s="326"/>
      <c r="E23" s="326"/>
      <c r="F23" s="326"/>
    </row>
    <row r="24" spans="1:6">
      <c r="A24" s="1282" t="s">
        <v>14</v>
      </c>
      <c r="B24" s="1283">
        <v>29</v>
      </c>
      <c r="C24" s="326"/>
      <c r="D24" s="326"/>
      <c r="E24" s="326"/>
      <c r="F24" s="326"/>
    </row>
    <row r="25" spans="1:6">
      <c r="A25" s="1282" t="s">
        <v>15</v>
      </c>
      <c r="B25" s="1283">
        <v>3124</v>
      </c>
      <c r="C25" s="326"/>
      <c r="D25" s="326"/>
      <c r="E25" s="326"/>
      <c r="F25" s="326"/>
    </row>
    <row r="26" spans="1:6">
      <c r="A26" s="1282" t="s">
        <v>16</v>
      </c>
      <c r="B26" s="1283">
        <v>248</v>
      </c>
      <c r="C26" s="326"/>
      <c r="D26" s="326"/>
      <c r="E26" s="326"/>
      <c r="F26" s="326"/>
    </row>
    <row r="27" spans="1:6">
      <c r="A27" s="1282" t="s">
        <v>17</v>
      </c>
      <c r="B27" s="1283">
        <v>0</v>
      </c>
      <c r="C27" s="326"/>
      <c r="D27" s="326"/>
      <c r="E27" s="326"/>
      <c r="F27" s="326"/>
    </row>
    <row r="28" spans="1:6" s="43" customFormat="1">
      <c r="A28" s="1284" t="s">
        <v>18</v>
      </c>
      <c r="B28" s="1285">
        <v>310447</v>
      </c>
      <c r="C28" s="332"/>
      <c r="D28" s="332"/>
      <c r="E28" s="332"/>
      <c r="F28" s="332"/>
    </row>
    <row r="29" spans="1:6">
      <c r="A29" s="1284" t="s">
        <v>978</v>
      </c>
      <c r="B29" s="1285">
        <v>163</v>
      </c>
      <c r="C29" s="332"/>
      <c r="D29" s="332"/>
      <c r="E29" s="332"/>
      <c r="F29" s="332"/>
    </row>
    <row r="30" spans="1:6">
      <c r="A30" s="1277" t="s">
        <v>979</v>
      </c>
      <c r="B30" s="1286">
        <v>15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4</v>
      </c>
      <c r="F35" s="1283">
        <v>50609.994081470802</v>
      </c>
    </row>
    <row r="36" spans="1:6">
      <c r="A36" s="1282" t="s">
        <v>24</v>
      </c>
      <c r="B36" s="1282" t="s">
        <v>26</v>
      </c>
      <c r="C36" s="1283">
        <v>0</v>
      </c>
      <c r="D36" s="1283">
        <v>0</v>
      </c>
      <c r="E36" s="1283">
        <v>5</v>
      </c>
      <c r="F36" s="1283">
        <v>20009.424455308701</v>
      </c>
    </row>
    <row r="37" spans="1:6">
      <c r="A37" s="1282" t="s">
        <v>24</v>
      </c>
      <c r="B37" s="1282" t="s">
        <v>27</v>
      </c>
      <c r="C37" s="1283">
        <v>0</v>
      </c>
      <c r="D37" s="1283">
        <v>0</v>
      </c>
      <c r="E37" s="1283">
        <v>0</v>
      </c>
      <c r="F37" s="1283">
        <v>0</v>
      </c>
    </row>
    <row r="38" spans="1:6">
      <c r="A38" s="1282" t="s">
        <v>24</v>
      </c>
      <c r="B38" s="1282" t="s">
        <v>28</v>
      </c>
      <c r="C38" s="1283">
        <v>2</v>
      </c>
      <c r="D38" s="1283">
        <v>69101.027723787105</v>
      </c>
      <c r="E38" s="1283">
        <v>3</v>
      </c>
      <c r="F38" s="1283">
        <v>168551.91032629501</v>
      </c>
    </row>
    <row r="39" spans="1:6">
      <c r="A39" s="1282" t="s">
        <v>29</v>
      </c>
      <c r="B39" s="1282" t="s">
        <v>30</v>
      </c>
      <c r="C39" s="1283">
        <v>6072</v>
      </c>
      <c r="D39" s="1283">
        <v>90994891.969274893</v>
      </c>
      <c r="E39" s="1283">
        <v>11709</v>
      </c>
      <c r="F39" s="1283">
        <v>56383724.300224803</v>
      </c>
    </row>
    <row r="40" spans="1:6">
      <c r="A40" s="1282" t="s">
        <v>29</v>
      </c>
      <c r="B40" s="1282" t="s">
        <v>28</v>
      </c>
      <c r="C40" s="1283">
        <v>0</v>
      </c>
      <c r="D40" s="1283">
        <v>0</v>
      </c>
      <c r="E40" s="1283">
        <v>1</v>
      </c>
      <c r="F40" s="1283">
        <v>7107</v>
      </c>
    </row>
    <row r="41" spans="1:6">
      <c r="A41" s="1282" t="s">
        <v>31</v>
      </c>
      <c r="B41" s="1282" t="s">
        <v>32</v>
      </c>
      <c r="C41" s="1283">
        <v>94</v>
      </c>
      <c r="D41" s="1283">
        <v>2364077.4214722598</v>
      </c>
      <c r="E41" s="1283">
        <v>297</v>
      </c>
      <c r="F41" s="1283">
        <v>16142754.1523483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593747.567059319</v>
      </c>
      <c r="E44" s="1283">
        <v>18</v>
      </c>
      <c r="F44" s="1283">
        <v>922830.497656469</v>
      </c>
    </row>
    <row r="45" spans="1:6">
      <c r="A45" s="1282" t="s">
        <v>31</v>
      </c>
      <c r="B45" s="1282" t="s">
        <v>36</v>
      </c>
      <c r="C45" s="1283">
        <v>5</v>
      </c>
      <c r="D45" s="1283">
        <v>335935.24690478703</v>
      </c>
      <c r="E45" s="1283">
        <v>17</v>
      </c>
      <c r="F45" s="1283">
        <v>2865994.2292711898</v>
      </c>
    </row>
    <row r="46" spans="1:6">
      <c r="A46" s="1282" t="s">
        <v>31</v>
      </c>
      <c r="B46" s="1282" t="s">
        <v>37</v>
      </c>
      <c r="C46" s="1283">
        <v>0</v>
      </c>
      <c r="D46" s="1283">
        <v>0</v>
      </c>
      <c r="E46" s="1283">
        <v>0</v>
      </c>
      <c r="F46" s="1283">
        <v>0</v>
      </c>
    </row>
    <row r="47" spans="1:6">
      <c r="A47" s="1282" t="s">
        <v>31</v>
      </c>
      <c r="B47" s="1282" t="s">
        <v>38</v>
      </c>
      <c r="C47" s="1283">
        <v>7</v>
      </c>
      <c r="D47" s="1283">
        <v>801089.86052055901</v>
      </c>
      <c r="E47" s="1283">
        <v>12</v>
      </c>
      <c r="F47" s="1283">
        <v>1366975.9192264599</v>
      </c>
    </row>
    <row r="48" spans="1:6">
      <c r="A48" s="1282" t="s">
        <v>31</v>
      </c>
      <c r="B48" s="1282" t="s">
        <v>28</v>
      </c>
      <c r="C48" s="1283">
        <v>35</v>
      </c>
      <c r="D48" s="1283">
        <v>43935475.720733002</v>
      </c>
      <c r="E48" s="1283">
        <v>54</v>
      </c>
      <c r="F48" s="1283">
        <v>12134624.4324369</v>
      </c>
    </row>
    <row r="49" spans="1:6">
      <c r="A49" s="1282" t="s">
        <v>31</v>
      </c>
      <c r="B49" s="1282" t="s">
        <v>39</v>
      </c>
      <c r="C49" s="1283">
        <v>4</v>
      </c>
      <c r="D49" s="1283">
        <v>22279175.378735598</v>
      </c>
      <c r="E49" s="1283">
        <v>22</v>
      </c>
      <c r="F49" s="1283">
        <v>8880670.3231396507</v>
      </c>
    </row>
    <row r="50" spans="1:6">
      <c r="A50" s="1282" t="s">
        <v>31</v>
      </c>
      <c r="B50" s="1282" t="s">
        <v>40</v>
      </c>
      <c r="C50" s="1283">
        <v>16</v>
      </c>
      <c r="D50" s="1283">
        <v>7682921.1842515301</v>
      </c>
      <c r="E50" s="1283">
        <v>44</v>
      </c>
      <c r="F50" s="1283">
        <v>39426111.847800501</v>
      </c>
    </row>
    <row r="51" spans="1:6">
      <c r="A51" s="1282" t="s">
        <v>41</v>
      </c>
      <c r="B51" s="1282" t="s">
        <v>42</v>
      </c>
      <c r="C51" s="1283">
        <v>7</v>
      </c>
      <c r="D51" s="1283">
        <v>31695389.702245802</v>
      </c>
      <c r="E51" s="1283">
        <v>198</v>
      </c>
      <c r="F51" s="1283">
        <v>4554962.0734369503</v>
      </c>
    </row>
    <row r="52" spans="1:6">
      <c r="A52" s="1282" t="s">
        <v>41</v>
      </c>
      <c r="B52" s="1282" t="s">
        <v>28</v>
      </c>
      <c r="C52" s="1283">
        <v>6</v>
      </c>
      <c r="D52" s="1283">
        <v>268294.273310107</v>
      </c>
      <c r="E52" s="1283">
        <v>11</v>
      </c>
      <c r="F52" s="1283">
        <v>177085.59602940301</v>
      </c>
    </row>
    <row r="53" spans="1:6">
      <c r="A53" s="1282" t="s">
        <v>43</v>
      </c>
      <c r="B53" s="1282" t="s">
        <v>44</v>
      </c>
      <c r="C53" s="1283">
        <v>279</v>
      </c>
      <c r="D53" s="1283">
        <v>5314650.2565039797</v>
      </c>
      <c r="E53" s="1283">
        <v>624</v>
      </c>
      <c r="F53" s="1283">
        <v>3942988.7145410902</v>
      </c>
    </row>
    <row r="54" spans="1:6">
      <c r="A54" s="1282" t="s">
        <v>45</v>
      </c>
      <c r="B54" s="1282" t="s">
        <v>46</v>
      </c>
      <c r="C54" s="1283">
        <v>0</v>
      </c>
      <c r="D54" s="1283">
        <v>0</v>
      </c>
      <c r="E54" s="1283">
        <v>3</v>
      </c>
      <c r="F54" s="1283">
        <v>2691717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76</v>
      </c>
      <c r="D57" s="1283">
        <v>10783548.902985601</v>
      </c>
      <c r="E57" s="1283">
        <v>136</v>
      </c>
      <c r="F57" s="1283">
        <v>2989186.0005538599</v>
      </c>
    </row>
    <row r="58" spans="1:6">
      <c r="A58" s="1282" t="s">
        <v>48</v>
      </c>
      <c r="B58" s="1282" t="s">
        <v>50</v>
      </c>
      <c r="C58" s="1283">
        <v>56</v>
      </c>
      <c r="D58" s="1283">
        <v>8271941.9457189497</v>
      </c>
      <c r="E58" s="1283">
        <v>74</v>
      </c>
      <c r="F58" s="1283">
        <v>6546928.6640669303</v>
      </c>
    </row>
    <row r="59" spans="1:6">
      <c r="A59" s="1282" t="s">
        <v>48</v>
      </c>
      <c r="B59" s="1282" t="s">
        <v>51</v>
      </c>
      <c r="C59" s="1283">
        <v>183</v>
      </c>
      <c r="D59" s="1283">
        <v>8149310.4515952701</v>
      </c>
      <c r="E59" s="1283">
        <v>525</v>
      </c>
      <c r="F59" s="1283">
        <v>21619987.2806646</v>
      </c>
    </row>
    <row r="60" spans="1:6">
      <c r="A60" s="1282" t="s">
        <v>48</v>
      </c>
      <c r="B60" s="1282" t="s">
        <v>52</v>
      </c>
      <c r="C60" s="1283">
        <v>83</v>
      </c>
      <c r="D60" s="1283">
        <v>3084108.1294128001</v>
      </c>
      <c r="E60" s="1283">
        <v>150</v>
      </c>
      <c r="F60" s="1283">
        <v>3564573.7211306999</v>
      </c>
    </row>
    <row r="61" spans="1:6">
      <c r="A61" s="1282" t="s">
        <v>48</v>
      </c>
      <c r="B61" s="1282" t="s">
        <v>53</v>
      </c>
      <c r="C61" s="1283">
        <v>260</v>
      </c>
      <c r="D61" s="1283">
        <v>14507736.2478787</v>
      </c>
      <c r="E61" s="1283">
        <v>653</v>
      </c>
      <c r="F61" s="1283">
        <v>8940331.2156502195</v>
      </c>
    </row>
    <row r="62" spans="1:6">
      <c r="A62" s="1282" t="s">
        <v>48</v>
      </c>
      <c r="B62" s="1282" t="s">
        <v>54</v>
      </c>
      <c r="C62" s="1283">
        <v>12</v>
      </c>
      <c r="D62" s="1283">
        <v>2709231.4171485999</v>
      </c>
      <c r="E62" s="1283">
        <v>25</v>
      </c>
      <c r="F62" s="1283">
        <v>926084.50249754905</v>
      </c>
    </row>
    <row r="63" spans="1:6">
      <c r="A63" s="1282" t="s">
        <v>48</v>
      </c>
      <c r="B63" s="1282" t="s">
        <v>28</v>
      </c>
      <c r="C63" s="1283">
        <v>99</v>
      </c>
      <c r="D63" s="1283">
        <v>9041914.7185276691</v>
      </c>
      <c r="E63" s="1283">
        <v>91</v>
      </c>
      <c r="F63" s="1283">
        <v>8282057.75663953</v>
      </c>
    </row>
    <row r="64" spans="1:6">
      <c r="A64" s="1282" t="s">
        <v>55</v>
      </c>
      <c r="B64" s="1282" t="s">
        <v>56</v>
      </c>
      <c r="C64" s="1283">
        <v>0</v>
      </c>
      <c r="D64" s="1283">
        <v>0</v>
      </c>
      <c r="E64" s="1283">
        <v>0</v>
      </c>
      <c r="F64" s="1283">
        <v>0</v>
      </c>
    </row>
    <row r="65" spans="1:6">
      <c r="A65" s="1282" t="s">
        <v>55</v>
      </c>
      <c r="B65" s="1282" t="s">
        <v>28</v>
      </c>
      <c r="C65" s="1283">
        <v>2</v>
      </c>
      <c r="D65" s="1283">
        <v>49163.083146700199</v>
      </c>
      <c r="E65" s="1283">
        <v>4</v>
      </c>
      <c r="F65" s="1283">
        <v>15698.563392624001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1677662.52001666</v>
      </c>
      <c r="E68" s="1286">
        <v>24</v>
      </c>
      <c r="F68" s="1286">
        <v>1047464.73075158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122833084</v>
      </c>
      <c r="E73" s="447"/>
      <c r="F73" s="326"/>
    </row>
    <row r="74" spans="1:6">
      <c r="A74" s="1282" t="s">
        <v>63</v>
      </c>
      <c r="B74" s="1282" t="s">
        <v>760</v>
      </c>
      <c r="C74" s="1296" t="s">
        <v>761</v>
      </c>
      <c r="D74" s="1297">
        <v>13598409.265472824</v>
      </c>
      <c r="E74" s="447"/>
      <c r="F74" s="326"/>
    </row>
    <row r="75" spans="1:6">
      <c r="A75" s="1282" t="s">
        <v>64</v>
      </c>
      <c r="B75" s="1282" t="s">
        <v>758</v>
      </c>
      <c r="C75" s="1296" t="s">
        <v>762</v>
      </c>
      <c r="D75" s="1297">
        <v>31924108</v>
      </c>
      <c r="E75" s="447"/>
      <c r="F75" s="326"/>
    </row>
    <row r="76" spans="1:6">
      <c r="A76" s="1282" t="s">
        <v>64</v>
      </c>
      <c r="B76" s="1282" t="s">
        <v>760</v>
      </c>
      <c r="C76" s="1296" t="s">
        <v>763</v>
      </c>
      <c r="D76" s="1297">
        <v>1513108.2654728238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629035.46905435238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2616.1181321479648</v>
      </c>
      <c r="C91" s="326"/>
      <c r="D91" s="326"/>
      <c r="E91" s="326"/>
      <c r="F91" s="326"/>
    </row>
    <row r="92" spans="1:6">
      <c r="A92" s="1277" t="s">
        <v>68</v>
      </c>
      <c r="B92" s="1278">
        <v>1615.6070669628857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3409</v>
      </c>
      <c r="C97" s="326"/>
      <c r="D97" s="326"/>
      <c r="E97" s="326"/>
      <c r="F97" s="326"/>
    </row>
    <row r="98" spans="1:6">
      <c r="A98" s="1282" t="s">
        <v>71</v>
      </c>
      <c r="B98" s="1283">
        <v>2</v>
      </c>
      <c r="C98" s="326"/>
      <c r="D98" s="326"/>
      <c r="E98" s="326"/>
      <c r="F98" s="326"/>
    </row>
    <row r="99" spans="1:6">
      <c r="A99" s="1282" t="s">
        <v>72</v>
      </c>
      <c r="B99" s="1283">
        <v>265</v>
      </c>
      <c r="C99" s="326"/>
      <c r="D99" s="326"/>
      <c r="E99" s="326"/>
      <c r="F99" s="326"/>
    </row>
    <row r="100" spans="1:6">
      <c r="A100" s="1282" t="s">
        <v>73</v>
      </c>
      <c r="B100" s="1283">
        <v>1431</v>
      </c>
      <c r="C100" s="326"/>
      <c r="D100" s="326"/>
      <c r="E100" s="326"/>
      <c r="F100" s="326"/>
    </row>
    <row r="101" spans="1:6">
      <c r="A101" s="1282" t="s">
        <v>74</v>
      </c>
      <c r="B101" s="1283">
        <v>184</v>
      </c>
      <c r="C101" s="326"/>
      <c r="D101" s="326"/>
      <c r="E101" s="326"/>
      <c r="F101" s="326"/>
    </row>
    <row r="102" spans="1:6">
      <c r="A102" s="1282" t="s">
        <v>75</v>
      </c>
      <c r="B102" s="1283">
        <v>208</v>
      </c>
      <c r="C102" s="326"/>
      <c r="D102" s="326"/>
      <c r="E102" s="326"/>
      <c r="F102" s="326"/>
    </row>
    <row r="103" spans="1:6">
      <c r="A103" s="1282" t="s">
        <v>76</v>
      </c>
      <c r="B103" s="1283">
        <v>358</v>
      </c>
      <c r="C103" s="326"/>
      <c r="D103" s="326"/>
      <c r="E103" s="326"/>
      <c r="F103" s="326"/>
    </row>
    <row r="104" spans="1:6">
      <c r="A104" s="1282" t="s">
        <v>77</v>
      </c>
      <c r="B104" s="1283">
        <v>4923</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13</v>
      </c>
      <c r="C123" s="1283">
        <v>14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103</v>
      </c>
      <c r="C129" s="326"/>
      <c r="D129" s="326"/>
      <c r="E129" s="326"/>
      <c r="F129" s="326"/>
    </row>
    <row r="130" spans="1:6">
      <c r="A130" s="1282" t="s">
        <v>290</v>
      </c>
      <c r="B130" s="1283">
        <v>0</v>
      </c>
      <c r="C130" s="326"/>
      <c r="D130" s="326"/>
      <c r="E130" s="326"/>
      <c r="F130" s="326"/>
    </row>
    <row r="131" spans="1:6">
      <c r="A131" s="1282" t="s">
        <v>291</v>
      </c>
      <c r="B131" s="1283">
        <v>4</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204995.48120949679</v>
      </c>
      <c r="C3" s="43" t="s">
        <v>169</v>
      </c>
      <c r="D3" s="43"/>
      <c r="E3" s="156"/>
      <c r="F3" s="43"/>
      <c r="G3" s="43"/>
      <c r="H3" s="43"/>
      <c r="I3" s="43"/>
      <c r="J3" s="43"/>
      <c r="K3" s="96"/>
    </row>
    <row r="4" spans="1:11">
      <c r="A4" s="354" t="s">
        <v>170</v>
      </c>
      <c r="B4" s="49">
        <f>IF(ISERROR('SEAP template'!B78+'SEAP template'!C78),0,'SEAP template'!B78+'SEAP template'!C78)</f>
        <v>25850.10019911085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2138.9769066881759</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0.20356598040001209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3055.8138075975389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30884.732142857145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9.8942538774916045E-2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2691.7170000000001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2691.7170000000001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0.20356598040001209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547.94201006437936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56390.831300224803</v>
      </c>
      <c r="C5" s="17">
        <f>IF(ISERROR('Eigen informatie GS &amp; warmtenet'!B57),0,'Eigen informatie GS &amp; warmtenet'!B57)</f>
        <v>0</v>
      </c>
      <c r="D5" s="30">
        <f>(SUM(HH_hh_gas_kWh,HH_rest_gas_kWh)/1000)*0.902</f>
        <v>82077.392556285951</v>
      </c>
      <c r="E5" s="17">
        <f>B32*B41</f>
        <v>3110.2175592275826</v>
      </c>
      <c r="F5" s="17">
        <f>B36*B45</f>
        <v>106165.39669776232</v>
      </c>
      <c r="G5" s="18"/>
      <c r="H5" s="17"/>
      <c r="I5" s="17"/>
      <c r="J5" s="17">
        <f>B35*B44+C35*C44</f>
        <v>2390.5755738640833</v>
      </c>
      <c r="K5" s="17"/>
      <c r="L5" s="17"/>
      <c r="M5" s="17"/>
      <c r="N5" s="17">
        <f>B34*B43+C34*C43</f>
        <v>15238.073841503581</v>
      </c>
      <c r="O5" s="17">
        <f>B52*B53*B54</f>
        <v>182.91000000000003</v>
      </c>
      <c r="P5" s="17">
        <f>B60*B61*B62/1000-B60*B61*B62/1000/B63</f>
        <v>438.5333333333333</v>
      </c>
    </row>
    <row r="6" spans="1:16">
      <c r="A6" s="16" t="s">
        <v>621</v>
      </c>
      <c r="B6" s="768">
        <f>kWh_PV_kleiner_dan_10kW</f>
        <v>2616.1181321479648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59006.94943237277</v>
      </c>
      <c r="C8" s="21">
        <f>C5</f>
        <v>0</v>
      </c>
      <c r="D8" s="21">
        <f>D5</f>
        <v>82077.392556285951</v>
      </c>
      <c r="E8" s="21">
        <f>E5</f>
        <v>3110.2175592275826</v>
      </c>
      <c r="F8" s="21">
        <f>F5</f>
        <v>106165.39669776232</v>
      </c>
      <c r="G8" s="21"/>
      <c r="H8" s="21"/>
      <c r="I8" s="21"/>
      <c r="J8" s="21">
        <f>J5</f>
        <v>2390.5755738640833</v>
      </c>
      <c r="K8" s="21"/>
      <c r="L8" s="21">
        <f>L5</f>
        <v>0</v>
      </c>
      <c r="M8" s="21">
        <f>M5</f>
        <v>0</v>
      </c>
      <c r="N8" s="21">
        <f>N5</f>
        <v>15238.073841503581</v>
      </c>
      <c r="O8" s="21">
        <f>O5</f>
        <v>182.91000000000003</v>
      </c>
      <c r="P8" s="21">
        <f>P5</f>
        <v>438.5333333333333</v>
      </c>
    </row>
    <row r="9" spans="1:16">
      <c r="B9" s="19"/>
      <c r="C9" s="19"/>
      <c r="D9" s="256"/>
      <c r="E9" s="19"/>
      <c r="F9" s="19"/>
      <c r="G9" s="19"/>
      <c r="H9" s="19"/>
      <c r="I9" s="19"/>
      <c r="J9" s="19"/>
      <c r="K9" s="19"/>
      <c r="L9" s="19"/>
      <c r="M9" s="19"/>
      <c r="N9" s="19"/>
      <c r="O9" s="19"/>
      <c r="P9" s="19"/>
    </row>
    <row r="10" spans="1:16">
      <c r="A10" s="24" t="s">
        <v>213</v>
      </c>
      <c r="B10" s="25">
        <f ca="1">'EF ele_warmte'!B12</f>
        <v>0.20356598040001209</v>
      </c>
      <c r="C10" s="25">
        <f ca="1">'EF ele_warmte'!B22</f>
        <v>9.8942538774916045E-2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12011.807511614899</v>
      </c>
      <c r="C12" s="23">
        <f ca="1">C10*C8</f>
        <v>0</v>
      </c>
      <c r="D12" s="23">
        <f>D8*D10</f>
        <v>16579.633296369764</v>
      </c>
      <c r="E12" s="23">
        <f>E10*E8</f>
        <v>706.01938594466128</v>
      </c>
      <c r="F12" s="23">
        <f>F10*F8</f>
        <v>28346.160918302539</v>
      </c>
      <c r="G12" s="23"/>
      <c r="H12" s="23"/>
      <c r="I12" s="23"/>
      <c r="J12" s="23">
        <f>J10*J8</f>
        <v>846.26375314788538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12235</v>
      </c>
      <c r="C26" s="36"/>
      <c r="D26" s="226"/>
    </row>
    <row r="27" spans="1:5" s="15" customFormat="1">
      <c r="A27" s="228" t="s">
        <v>701</v>
      </c>
      <c r="B27" s="37">
        <f>SUM(HH_hh_gas_aantal,HH_rest_gas_aantal)</f>
        <v>6072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5768.4</v>
      </c>
      <c r="C31" s="34" t="s">
        <v>110</v>
      </c>
      <c r="D31" s="172"/>
    </row>
    <row r="32" spans="1:5">
      <c r="A32" s="169" t="s">
        <v>72</v>
      </c>
      <c r="B32" s="33">
        <f>IF((B21*($B$26-($B$27-0.05*$B$27)-$B$60))&lt;0,0,B21*($B$26-($B$27-0.05*$B$27)-$B$60))</f>
        <v>45.682344561631794</v>
      </c>
      <c r="C32" s="34" t="s">
        <v>110</v>
      </c>
      <c r="D32" s="172"/>
    </row>
    <row r="33" spans="1:6">
      <c r="A33" s="169" t="s">
        <v>73</v>
      </c>
      <c r="B33" s="33">
        <f>IF((B22*($B$26-($B$27-0.05*$B$27)-$B$60))&lt;0,0,B22*($B$26-($B$27-0.05*$B$27)-$B$60))</f>
        <v>1309.249779851393</v>
      </c>
      <c r="C33" s="34" t="s">
        <v>110</v>
      </c>
      <c r="D33" s="172"/>
    </row>
    <row r="34" spans="1:6">
      <c r="A34" s="169" t="s">
        <v>74</v>
      </c>
      <c r="B34" s="33">
        <f>IF((B24*($B$26-($B$27-0.05*$B$27)-$B$60))&lt;0,0,B24*($B$26-($B$27-0.05*$B$27)-$B$60))</f>
        <v>261.07824267182815</v>
      </c>
      <c r="C34" s="33">
        <f>B26*C24</f>
        <v>2501.7836162215408</v>
      </c>
      <c r="D34" s="231"/>
    </row>
    <row r="35" spans="1:6">
      <c r="A35" s="169" t="s">
        <v>76</v>
      </c>
      <c r="B35" s="33">
        <f>IF((B19*($B$26-($B$27-0.05*$B$27)-$B$60))&lt;0,0,B19*($B$26-($B$27-0.05*$B$27)-$B$60))</f>
        <v>135.95935881438035</v>
      </c>
      <c r="C35" s="33">
        <f>B35/2</f>
        <v>67.979679407190176</v>
      </c>
      <c r="D35" s="231"/>
    </row>
    <row r="36" spans="1:6">
      <c r="A36" s="169" t="s">
        <v>77</v>
      </c>
      <c r="B36" s="33">
        <f>IF((B18*($B$26-($B$27-0.05*$B$27)-$B$60))&lt;0,0,B18*($B$26-($B$27-0.05*$B$27)-$B$60))</f>
        <v>4691.6302741007667</v>
      </c>
      <c r="C36" s="34" t="s">
        <v>110</v>
      </c>
      <c r="D36" s="172"/>
    </row>
    <row r="37" spans="1:6">
      <c r="A37" s="169" t="s">
        <v>78</v>
      </c>
      <c r="B37" s="33">
        <f>B60</f>
        <v>23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52869.149141203394</v>
      </c>
      <c r="C5" s="17">
        <f>IF(ISERROR('Eigen informatie GS &amp; warmtenet'!B58),0,'Eigen informatie GS &amp; warmtenet'!B58)</f>
        <v>0</v>
      </c>
      <c r="D5" s="30">
        <f>SUM(D6:D12)</f>
        <v>51006.108215567365</v>
      </c>
      <c r="E5" s="17">
        <f>SUM(E6:E12)</f>
        <v>824.29820365936314</v>
      </c>
      <c r="F5" s="17">
        <f>SUM(F6:F12)</f>
        <v>10019.233929497723</v>
      </c>
      <c r="G5" s="18"/>
      <c r="H5" s="17"/>
      <c r="I5" s="17"/>
      <c r="J5" s="17">
        <f>SUM(J6:J12)</f>
        <v>0</v>
      </c>
      <c r="K5" s="17"/>
      <c r="L5" s="17"/>
      <c r="M5" s="17"/>
      <c r="N5" s="17">
        <f>SUM(N6:N12)</f>
        <v>1062.3734586303087</v>
      </c>
      <c r="O5" s="17">
        <f>B38*B39*B40</f>
        <v>0</v>
      </c>
      <c r="P5" s="17">
        <f>B46*B47*B48/1000-B46*B47*B48/1000/B49</f>
        <v>76.266666666666666</v>
      </c>
      <c r="R5" s="32"/>
    </row>
    <row r="6" spans="1:18">
      <c r="A6" s="32" t="s">
        <v>53</v>
      </c>
      <c r="B6" s="37">
        <f>B26</f>
        <v>8940.3312156502197</v>
      </c>
      <c r="C6" s="33"/>
      <c r="D6" s="37">
        <f>IF(ISERROR(TER_kantoor_gas_kWh/1000),0,TER_kantoor_gas_kWh/1000)*0.902</f>
        <v>13085.978095586588</v>
      </c>
      <c r="E6" s="33">
        <f>$C$26*'E Balans VL '!I12/100/3.6*1000000</f>
        <v>312.94676154559522</v>
      </c>
      <c r="F6" s="33">
        <f>$C$26*('E Balans VL '!L12+'E Balans VL '!N12)/100/3.6*1000000</f>
        <v>1355.5461593228647</v>
      </c>
      <c r="G6" s="34"/>
      <c r="H6" s="33"/>
      <c r="I6" s="33"/>
      <c r="J6" s="33">
        <f>$C$26*('E Balans VL '!D12+'E Balans VL '!E12)/100/3.6*1000000</f>
        <v>0</v>
      </c>
      <c r="K6" s="33"/>
      <c r="L6" s="33"/>
      <c r="M6" s="33"/>
      <c r="N6" s="33">
        <f>$C$26*'E Balans VL '!Y12/100/3.6*1000000</f>
        <v>69.105962050316919</v>
      </c>
      <c r="O6" s="33"/>
      <c r="P6" s="33"/>
      <c r="R6" s="32"/>
    </row>
    <row r="7" spans="1:18">
      <c r="A7" s="32" t="s">
        <v>52</v>
      </c>
      <c r="B7" s="37">
        <f t="shared" ref="B7:B12" si="0">B27</f>
        <v>3564.5737211307001</v>
      </c>
      <c r="C7" s="33"/>
      <c r="D7" s="37">
        <f>IF(ISERROR(TER_horeca_gas_kWh/1000),0,TER_horeca_gas_kWh/1000)*0.902</f>
        <v>2781.8655327303459</v>
      </c>
      <c r="E7" s="33">
        <f>$C$27*'E Balans VL '!I9/100/3.6*1000000</f>
        <v>201.08935515906717</v>
      </c>
      <c r="F7" s="33">
        <f>$C$27*('E Balans VL '!L9+'E Balans VL '!N9)/100/3.6*1000000</f>
        <v>620.96846882521822</v>
      </c>
      <c r="G7" s="34"/>
      <c r="H7" s="33"/>
      <c r="I7" s="33"/>
      <c r="J7" s="33">
        <f>$C$27*('E Balans VL '!D9+'E Balans VL '!E9)/100/3.6*1000000</f>
        <v>0</v>
      </c>
      <c r="K7" s="33"/>
      <c r="L7" s="33"/>
      <c r="M7" s="33"/>
      <c r="N7" s="33">
        <f>$C$27*'E Balans VL '!Y9/100/3.6*1000000</f>
        <v>0</v>
      </c>
      <c r="O7" s="33"/>
      <c r="P7" s="33"/>
      <c r="R7" s="32"/>
    </row>
    <row r="8" spans="1:18">
      <c r="A8" s="6" t="s">
        <v>51</v>
      </c>
      <c r="B8" s="37">
        <f t="shared" si="0"/>
        <v>21619.987280664602</v>
      </c>
      <c r="C8" s="33"/>
      <c r="D8" s="37">
        <f>IF(ISERROR(TER_handel_gas_kWh/1000),0,TER_handel_gas_kWh/1000)*0.902</f>
        <v>7350.678027338934</v>
      </c>
      <c r="E8" s="33">
        <f>$C$28*'E Balans VL '!I13/100/3.6*1000000</f>
        <v>110.99481814008183</v>
      </c>
      <c r="F8" s="33">
        <f>$C$28*('E Balans VL '!L13+'E Balans VL '!N13)/100/3.6*1000000</f>
        <v>3333.4679755819216</v>
      </c>
      <c r="G8" s="34"/>
      <c r="H8" s="33"/>
      <c r="I8" s="33"/>
      <c r="J8" s="33">
        <f>$C$28*('E Balans VL '!D13+'E Balans VL '!E13)/100/3.6*1000000</f>
        <v>0</v>
      </c>
      <c r="K8" s="33"/>
      <c r="L8" s="33"/>
      <c r="M8" s="33"/>
      <c r="N8" s="33">
        <f>$C$28*'E Balans VL '!Y13/100/3.6*1000000</f>
        <v>10.111931958634527</v>
      </c>
      <c r="O8" s="33"/>
      <c r="P8" s="33"/>
      <c r="R8" s="32"/>
    </row>
    <row r="9" spans="1:18">
      <c r="A9" s="32" t="s">
        <v>50</v>
      </c>
      <c r="B9" s="37">
        <f t="shared" si="0"/>
        <v>6546.9286640669307</v>
      </c>
      <c r="C9" s="33"/>
      <c r="D9" s="37">
        <f>IF(ISERROR(TER_gezond_gas_kWh/1000),0,TER_gezond_gas_kWh/1000)*0.902</f>
        <v>7461.2916350384921</v>
      </c>
      <c r="E9" s="33">
        <f>$C$29*'E Balans VL '!I10/100/3.6*1000000</f>
        <v>2.7136553057008475</v>
      </c>
      <c r="F9" s="33">
        <f>$C$29*('E Balans VL '!L10+'E Balans VL '!N10)/100/3.6*1000000</f>
        <v>1612.4146344776868</v>
      </c>
      <c r="G9" s="34"/>
      <c r="H9" s="33"/>
      <c r="I9" s="33"/>
      <c r="J9" s="33">
        <f>$C$29*('E Balans VL '!D10+'E Balans VL '!E10)/100/3.6*1000000</f>
        <v>0</v>
      </c>
      <c r="K9" s="33"/>
      <c r="L9" s="33"/>
      <c r="M9" s="33"/>
      <c r="N9" s="33">
        <f>$C$29*'E Balans VL '!Y10/100/3.6*1000000</f>
        <v>56.581668125119464</v>
      </c>
      <c r="O9" s="33"/>
      <c r="P9" s="33"/>
      <c r="R9" s="32"/>
    </row>
    <row r="10" spans="1:18">
      <c r="A10" s="32" t="s">
        <v>49</v>
      </c>
      <c r="B10" s="37">
        <f t="shared" si="0"/>
        <v>2989.1860005538597</v>
      </c>
      <c r="C10" s="33"/>
      <c r="D10" s="37">
        <f>IF(ISERROR(TER_ander_gas_kWh/1000),0,TER_ander_gas_kWh/1000)*0.902</f>
        <v>9726.7611104930111</v>
      </c>
      <c r="E10" s="33">
        <f>$C$30*'E Balans VL '!I14/100/3.6*1000000</f>
        <v>18.222151610658148</v>
      </c>
      <c r="F10" s="33">
        <f>$C$30*('E Balans VL '!L14+'E Balans VL '!N14)/100/3.6*1000000</f>
        <v>792.47415595019277</v>
      </c>
      <c r="G10" s="34"/>
      <c r="H10" s="33"/>
      <c r="I10" s="33"/>
      <c r="J10" s="33">
        <f>$C$30*('E Balans VL '!D14+'E Balans VL '!E14)/100/3.6*1000000</f>
        <v>0</v>
      </c>
      <c r="K10" s="33"/>
      <c r="L10" s="33"/>
      <c r="M10" s="33"/>
      <c r="N10" s="33">
        <f>$C$30*'E Balans VL '!Y14/100/3.6*1000000</f>
        <v>688.94278157240365</v>
      </c>
      <c r="O10" s="33"/>
      <c r="P10" s="33"/>
      <c r="R10" s="32"/>
    </row>
    <row r="11" spans="1:18">
      <c r="A11" s="32" t="s">
        <v>54</v>
      </c>
      <c r="B11" s="37">
        <f t="shared" si="0"/>
        <v>926.08450249754901</v>
      </c>
      <c r="C11" s="33"/>
      <c r="D11" s="37">
        <f>IF(ISERROR(TER_onderwijs_gas_kWh/1000),0,TER_onderwijs_gas_kWh/1000)*0.902</f>
        <v>2443.7267382680375</v>
      </c>
      <c r="E11" s="33">
        <f>$C$31*'E Balans VL '!I11/100/3.6*1000000</f>
        <v>0.70572461263260777</v>
      </c>
      <c r="F11" s="33">
        <f>$C$31*('E Balans VL '!L11+'E Balans VL '!N11)/100/3.6*1000000</f>
        <v>670.16549754962455</v>
      </c>
      <c r="G11" s="34"/>
      <c r="H11" s="33"/>
      <c r="I11" s="33"/>
      <c r="J11" s="33">
        <f>$C$31*('E Balans VL '!D11+'E Balans VL '!E11)/100/3.6*1000000</f>
        <v>0</v>
      </c>
      <c r="K11" s="33"/>
      <c r="L11" s="33"/>
      <c r="M11" s="33"/>
      <c r="N11" s="33">
        <f>$C$31*'E Balans VL '!Y11/100/3.6*1000000</f>
        <v>2.7293923590233033</v>
      </c>
      <c r="O11" s="33"/>
      <c r="P11" s="33"/>
      <c r="R11" s="32"/>
    </row>
    <row r="12" spans="1:18">
      <c r="A12" s="32" t="s">
        <v>255</v>
      </c>
      <c r="B12" s="37">
        <f t="shared" si="0"/>
        <v>8282.0577566395295</v>
      </c>
      <c r="C12" s="33"/>
      <c r="D12" s="37">
        <f>IF(ISERROR(TER_rest_gas_kWh/1000),0,TER_rest_gas_kWh/1000)*0.902</f>
        <v>8155.807076111957</v>
      </c>
      <c r="E12" s="33">
        <f>$C$32*'E Balans VL '!I8/100/3.6*1000000</f>
        <v>177.62573728562734</v>
      </c>
      <c r="F12" s="33">
        <f>$C$32*('E Balans VL '!L8+'E Balans VL '!N8)/100/3.6*1000000</f>
        <v>1634.1970377902144</v>
      </c>
      <c r="G12" s="34"/>
      <c r="H12" s="33"/>
      <c r="I12" s="33"/>
      <c r="J12" s="33">
        <f>$C$32*('E Balans VL '!D8+'E Balans VL '!E8)/100/3.6*1000000</f>
        <v>0</v>
      </c>
      <c r="K12" s="33"/>
      <c r="L12" s="33"/>
      <c r="M12" s="33"/>
      <c r="N12" s="33">
        <f>$C$32*'E Balans VL '!Y8/100/3.6*1000000</f>
        <v>234.9017225648108</v>
      </c>
      <c r="O12" s="33"/>
      <c r="P12" s="33"/>
      <c r="R12" s="32"/>
    </row>
    <row r="13" spans="1:18">
      <c r="A13" s="16" t="s">
        <v>489</v>
      </c>
      <c r="B13" s="244">
        <f ca="1">'lokale energieproductie'!N40+'lokale energieproductie'!N33</f>
        <v>0.375</v>
      </c>
      <c r="C13" s="244">
        <f ca="1">'lokale energieproductie'!O40+'lokale energieproductie'!O33</f>
        <v>1.875</v>
      </c>
      <c r="D13" s="304">
        <f ca="1">('lokale energieproductie'!P33+'lokale energieproductie'!P40)*(-1)</f>
        <v>-2.5</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52869.524141203394</v>
      </c>
      <c r="C16" s="21">
        <f ca="1">C5+C13+C14</f>
        <v>1.875</v>
      </c>
      <c r="D16" s="21">
        <f t="shared" ref="D16:N16" ca="1" si="1">MAX((D5+D13+D14),0)</f>
        <v>51003.608215567365</v>
      </c>
      <c r="E16" s="21">
        <f t="shared" si="1"/>
        <v>824.29820365936314</v>
      </c>
      <c r="F16" s="21">
        <f t="shared" ca="1" si="1"/>
        <v>10019.233929497723</v>
      </c>
      <c r="G16" s="21">
        <f t="shared" si="1"/>
        <v>0</v>
      </c>
      <c r="H16" s="21">
        <f t="shared" si="1"/>
        <v>0</v>
      </c>
      <c r="I16" s="21">
        <f t="shared" si="1"/>
        <v>0</v>
      </c>
      <c r="J16" s="21">
        <f t="shared" si="1"/>
        <v>0</v>
      </c>
      <c r="K16" s="21">
        <f t="shared" si="1"/>
        <v>0</v>
      </c>
      <c r="L16" s="21">
        <f t="shared" ca="1" si="1"/>
        <v>0</v>
      </c>
      <c r="M16" s="21">
        <f t="shared" si="1"/>
        <v>0</v>
      </c>
      <c r="N16" s="21">
        <f t="shared" ca="1" si="1"/>
        <v>1062.3734586303087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0.20356598040001209</v>
      </c>
      <c r="C18" s="25">
        <f ca="1">'EF ele_warmte'!B22</f>
        <v>9.8942538774916045E-2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10762.436515086176</v>
      </c>
      <c r="C20" s="23">
        <f t="shared" ref="C20:P20" ca="1" si="2">C16*C18</f>
        <v>0.18551726020296758</v>
      </c>
      <c r="D20" s="23">
        <f t="shared" ca="1" si="2"/>
        <v>10302.728859544608</v>
      </c>
      <c r="E20" s="23">
        <f t="shared" si="2"/>
        <v>187.11569223067545</v>
      </c>
      <c r="F20" s="23">
        <f t="shared" ca="1" si="2"/>
        <v>2675.1354591758923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8940.3312156502197</v>
      </c>
      <c r="C26" s="39">
        <f>IF(ISERROR(B26*3.6/1000000/'E Balans VL '!Z12*100),0,B26*3.6/1000000/'E Balans VL '!Z12*100)</f>
        <v>0.18813444401005841</v>
      </c>
      <c r="D26" s="234" t="s">
        <v>706</v>
      </c>
      <c r="F26" s="6"/>
    </row>
    <row r="27" spans="1:18">
      <c r="A27" s="229" t="s">
        <v>52</v>
      </c>
      <c r="B27" s="33">
        <f>IF(ISERROR(TER_horeca_ele_kWh/1000),0,TER_horeca_ele_kWh/1000)</f>
        <v>3564.5737211307001</v>
      </c>
      <c r="C27" s="39">
        <f>IF(ISERROR(B27*3.6/1000000/'E Balans VL '!Z9*100),0,B27*3.6/1000000/'E Balans VL '!Z9*100)</f>
        <v>0.30180244060873773</v>
      </c>
      <c r="D27" s="234" t="s">
        <v>706</v>
      </c>
      <c r="F27" s="6"/>
    </row>
    <row r="28" spans="1:18">
      <c r="A28" s="169" t="s">
        <v>51</v>
      </c>
      <c r="B28" s="33">
        <f>IF(ISERROR(TER_handel_ele_kWh/1000),0,TER_handel_ele_kWh/1000)</f>
        <v>21619.987280664602</v>
      </c>
      <c r="C28" s="39">
        <f>IF(ISERROR(B28*3.6/1000000/'E Balans VL '!Z13*100),0,B28*3.6/1000000/'E Balans VL '!Z13*100)</f>
        <v>0.59854635827399005</v>
      </c>
      <c r="D28" s="234" t="s">
        <v>706</v>
      </c>
      <c r="F28" s="6"/>
    </row>
    <row r="29" spans="1:18">
      <c r="A29" s="229" t="s">
        <v>50</v>
      </c>
      <c r="B29" s="33">
        <f>IF(ISERROR(TER_gezond_ele_kWh/1000),0,TER_gezond_ele_kWh/1000)</f>
        <v>6546.9286640669307</v>
      </c>
      <c r="C29" s="39">
        <f>IF(ISERROR(B29*3.6/1000000/'E Balans VL '!Z10*100),0,B29*3.6/1000000/'E Balans VL '!Z10*100)</f>
        <v>0.85102814516224201</v>
      </c>
      <c r="D29" s="234" t="s">
        <v>706</v>
      </c>
      <c r="F29" s="6"/>
    </row>
    <row r="30" spans="1:18">
      <c r="A30" s="229" t="s">
        <v>49</v>
      </c>
      <c r="B30" s="33">
        <f>IF(ISERROR(TER_ander_ele_kWh/1000),0,TER_ander_ele_kWh/1000)</f>
        <v>2989.1860005538597</v>
      </c>
      <c r="C30" s="39">
        <f>IF(ISERROR(B30*3.6/1000000/'E Balans VL '!Z14*100),0,B30*3.6/1000000/'E Balans VL '!Z14*100)</f>
        <v>0.23168932797265085</v>
      </c>
      <c r="D30" s="234" t="s">
        <v>706</v>
      </c>
      <c r="F30" s="6"/>
    </row>
    <row r="31" spans="1:18">
      <c r="A31" s="229" t="s">
        <v>54</v>
      </c>
      <c r="B31" s="33">
        <f>IF(ISERROR(TER_onderwijs_ele_kWh/1000),0,TER_onderwijs_ele_kWh/1000)</f>
        <v>926.08450249754901</v>
      </c>
      <c r="C31" s="39">
        <f>IF(ISERROR(B31*3.6/1000000/'E Balans VL '!Z11*100),0,B31*3.6/1000000/'E Balans VL '!Z11*100)</f>
        <v>0.17717574547376197</v>
      </c>
      <c r="D31" s="234" t="s">
        <v>706</v>
      </c>
    </row>
    <row r="32" spans="1:18">
      <c r="A32" s="229" t="s">
        <v>255</v>
      </c>
      <c r="B32" s="33">
        <f>IF(ISERROR(TER_rest_ele_kWh/1000),0,TER_rest_ele_kWh/1000)</f>
        <v>8282.0577566395295</v>
      </c>
      <c r="C32" s="39">
        <f>IF(ISERROR(B32*3.6/1000000/'E Balans VL '!Z8*100),0,B32*3.6/1000000/'E Balans VL '!Z8*100)</f>
        <v>6.8291926124539923E-2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4</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81739.961401879482</v>
      </c>
      <c r="C5" s="17">
        <f>IF(ISERROR('Eigen informatie GS &amp; warmtenet'!B59),0,'Eigen informatie GS &amp; warmtenet'!B59)</f>
        <v>0</v>
      </c>
      <c r="D5" s="30">
        <f>SUM(D6:D15)</f>
        <v>70349.164986468706</v>
      </c>
      <c r="E5" s="17">
        <f>SUM(E6:E15)</f>
        <v>880.24085208728059</v>
      </c>
      <c r="F5" s="17">
        <f>SUM(F6:F15)</f>
        <v>22291.9096984797</v>
      </c>
      <c r="G5" s="18"/>
      <c r="H5" s="17"/>
      <c r="I5" s="17"/>
      <c r="J5" s="17">
        <f>SUM(J6:J15)</f>
        <v>280.86572302905097</v>
      </c>
      <c r="K5" s="17"/>
      <c r="L5" s="17"/>
      <c r="M5" s="17"/>
      <c r="N5" s="17">
        <f>SUM(N6:N15)</f>
        <v>2058.040075841368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922.83049765646899</v>
      </c>
      <c r="C8" s="33"/>
      <c r="D8" s="37">
        <f>IF( ISERROR(IND_metaal_Gas_kWH/1000),0,IND_metaal_Gas_kWH/1000)*0.902</f>
        <v>535.56030548750573</v>
      </c>
      <c r="E8" s="33">
        <f>C30*'E Balans VL '!I18/100/3.6*1000000</f>
        <v>6.4845262937186527</v>
      </c>
      <c r="F8" s="33">
        <f>C30*'E Balans VL '!L18/100/3.6*1000000+C30*'E Balans VL '!N18/100/3.6*1000000</f>
        <v>101.32138955284447</v>
      </c>
      <c r="G8" s="34"/>
      <c r="H8" s="33"/>
      <c r="I8" s="33"/>
      <c r="J8" s="40">
        <f>C30*'E Balans VL '!D18/100/3.6*1000000+C30*'E Balans VL '!E18/100/3.6*1000000</f>
        <v>19.039982227914933</v>
      </c>
      <c r="K8" s="33"/>
      <c r="L8" s="33"/>
      <c r="M8" s="33"/>
      <c r="N8" s="33">
        <f>C30*'E Balans VL '!Y18/100/3.6*1000000</f>
        <v>3.4588351673975986</v>
      </c>
      <c r="O8" s="33"/>
      <c r="P8" s="33"/>
      <c r="R8" s="32"/>
    </row>
    <row r="9" spans="1:18">
      <c r="A9" s="6" t="s">
        <v>32</v>
      </c>
      <c r="B9" s="37">
        <f t="shared" si="0"/>
        <v>16142.7541523483</v>
      </c>
      <c r="C9" s="33"/>
      <c r="D9" s="37">
        <f>IF( ISERROR(IND_andere_gas_kWh/1000),0,IND_andere_gas_kWh/1000)*0.902</f>
        <v>2132.3978341679781</v>
      </c>
      <c r="E9" s="33">
        <f>C31*'E Balans VL '!I19/100/3.6*1000000</f>
        <v>271.13733149392317</v>
      </c>
      <c r="F9" s="33">
        <f>C31*'E Balans VL '!L19/100/3.6*1000000+C31*'E Balans VL '!N19/100/3.6*1000000</f>
        <v>12619.485773680442</v>
      </c>
      <c r="G9" s="34"/>
      <c r="H9" s="33"/>
      <c r="I9" s="33"/>
      <c r="J9" s="40">
        <f>C31*'E Balans VL '!D19/100/3.6*1000000+C31*'E Balans VL '!E19/100/3.6*1000000</f>
        <v>1.4559339262373465</v>
      </c>
      <c r="K9" s="33"/>
      <c r="L9" s="33"/>
      <c r="M9" s="33"/>
      <c r="N9" s="33">
        <f>C31*'E Balans VL '!Y19/100/3.6*1000000</f>
        <v>1196.4370703788152</v>
      </c>
      <c r="O9" s="33"/>
      <c r="P9" s="33"/>
      <c r="R9" s="32"/>
    </row>
    <row r="10" spans="1:18">
      <c r="A10" s="6" t="s">
        <v>40</v>
      </c>
      <c r="B10" s="37">
        <f t="shared" si="0"/>
        <v>39426.111847800501</v>
      </c>
      <c r="C10" s="33"/>
      <c r="D10" s="37">
        <f>IF( ISERROR(IND_voed_gas_kWh/1000),0,IND_voed_gas_kWh/1000)*0.902</f>
        <v>6929.9949081948798</v>
      </c>
      <c r="E10" s="33">
        <f>C32*'E Balans VL '!I20/100/3.6*1000000</f>
        <v>359.70746097934114</v>
      </c>
      <c r="F10" s="33">
        <f>C32*'E Balans VL '!L20/100/3.6*1000000+C32*'E Balans VL '!N20/100/3.6*1000000</f>
        <v>6360.6650176608136</v>
      </c>
      <c r="G10" s="34"/>
      <c r="H10" s="33"/>
      <c r="I10" s="33"/>
      <c r="J10" s="40">
        <f>C32*'E Balans VL '!D20/100/3.6*1000000+C32*'E Balans VL '!E20/100/3.6*1000000</f>
        <v>162.38257759939333</v>
      </c>
      <c r="K10" s="33"/>
      <c r="L10" s="33"/>
      <c r="M10" s="33"/>
      <c r="N10" s="33">
        <f>C32*'E Balans VL '!Y20/100/3.6*1000000</f>
        <v>576.77292797160123</v>
      </c>
      <c r="O10" s="33"/>
      <c r="P10" s="33"/>
      <c r="R10" s="32"/>
    </row>
    <row r="11" spans="1:18">
      <c r="A11" s="6" t="s">
        <v>39</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36</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38</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12134.6244324369</v>
      </c>
      <c r="C15" s="33"/>
      <c r="D15" s="37">
        <f>IF( ISERROR(IND_rest_gas_kWh/1000),0,IND_rest_gas_kWh/1000)*0.902</f>
        <v>39629.799100101169</v>
      </c>
      <c r="E15" s="33">
        <f>C37*'E Balans VL '!I15/100/3.6*1000000</f>
        <v>109.51211569031395</v>
      </c>
      <c r="F15" s="33">
        <f>C37*'E Balans VL '!L15/100/3.6*1000000+C37*'E Balans VL '!N15/100/3.6*1000000</f>
        <v>2425.8088632621666</v>
      </c>
      <c r="G15" s="34"/>
      <c r="H15" s="33"/>
      <c r="I15" s="33"/>
      <c r="J15" s="40">
        <f>C37*'E Balans VL '!D15/100/3.6*1000000+C37*'E Balans VL '!E15/100/3.6*1000000</f>
        <v>81.706700396159704</v>
      </c>
      <c r="K15" s="33"/>
      <c r="L15" s="33"/>
      <c r="M15" s="33"/>
      <c r="N15" s="33">
        <f>C37*'E Balans VL '!Y15/100/3.6*1000000</f>
        <v>218.37296513840093</v>
      </c>
      <c r="O15" s="33"/>
      <c r="P15" s="33"/>
      <c r="R15" s="32"/>
    </row>
    <row r="16" spans="1:18">
      <c r="A16" s="16" t="s">
        <v>489</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81739.961401879482</v>
      </c>
      <c r="C18" s="21">
        <f>C5+C16</f>
        <v>0</v>
      </c>
      <c r="D18" s="21">
        <f>MAX((D5+D16),0)</f>
        <v>70349.164986468706</v>
      </c>
      <c r="E18" s="21">
        <f>MAX((E5+E16),0)</f>
        <v>880.24085208728059</v>
      </c>
      <c r="F18" s="21">
        <f>MAX((F5+F16),0)</f>
        <v>22291.9096984797</v>
      </c>
      <c r="G18" s="21"/>
      <c r="H18" s="21"/>
      <c r="I18" s="21"/>
      <c r="J18" s="21">
        <f>MAX((J5+J16),0)</f>
        <v>280.86572302905097</v>
      </c>
      <c r="K18" s="21"/>
      <c r="L18" s="21">
        <f>MAX((L5+L16),0)</f>
        <v>0</v>
      </c>
      <c r="M18" s="21"/>
      <c r="N18" s="21">
        <f>MAX((N5+N16),0)</f>
        <v>2058.040075841368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0.20356598040001209</v>
      </c>
      <c r="C20" s="25">
        <f ca="1">'EF ele_warmte'!B22</f>
        <v>9.8942538774916045E-2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16639.475380632743</v>
      </c>
      <c r="C22" s="23">
        <f ca="1">C18*C20</f>
        <v>0</v>
      </c>
      <c r="D22" s="23">
        <f>D18*D20</f>
        <v>14210.531327266679</v>
      </c>
      <c r="E22" s="23">
        <f>E18*E20</f>
        <v>199.81467342381271</v>
      </c>
      <c r="F22" s="23">
        <f>F18*F20</f>
        <v>5951.9398894940805</v>
      </c>
      <c r="G22" s="23"/>
      <c r="H22" s="23"/>
      <c r="I22" s="23"/>
      <c r="J22" s="23">
        <f>J18*J20</f>
        <v>99.426465952284033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922.83049765646899</v>
      </c>
      <c r="C30" s="39">
        <f>IF(ISERROR(B30*3.6/1000000/'E Balans VL '!Z18*100),0,B30*3.6/1000000/'E Balans VL '!Z18*100)</f>
        <v>6.1433389756515619E-2</v>
      </c>
      <c r="D30" s="234" t="s">
        <v>706</v>
      </c>
    </row>
    <row r="31" spans="1:18">
      <c r="A31" s="6" t="s">
        <v>32</v>
      </c>
      <c r="B31" s="37">
        <f>IF( ISERROR(IND_ander_ele_kWh/1000),0,IND_ander_ele_kWh/1000)</f>
        <v>16142.7541523483</v>
      </c>
      <c r="C31" s="39">
        <f>IF(ISERROR(B31*3.6/1000000/'E Balans VL '!Z19*100),0,B31*3.6/1000000/'E Balans VL '!Z19*100)</f>
        <v>0.71554431869685298</v>
      </c>
      <c r="D31" s="234" t="s">
        <v>706</v>
      </c>
    </row>
    <row r="32" spans="1:18">
      <c r="A32" s="169" t="s">
        <v>40</v>
      </c>
      <c r="B32" s="37">
        <f>IF( ISERROR(IND_voed_ele_kWh/1000),0,IND_voed_ele_kWh/1000)</f>
        <v>39426.111847800501</v>
      </c>
      <c r="C32" s="39">
        <f>IF(ISERROR(B32*3.6/1000000/'E Balans VL '!Z20*100),0,B32*3.6/1000000/'E Balans VL '!Z20*100)</f>
        <v>1.3169452345935728</v>
      </c>
      <c r="D32" s="234" t="s">
        <v>706</v>
      </c>
    </row>
    <row r="33" spans="1:5">
      <c r="A33" s="169" t="s">
        <v>39</v>
      </c>
      <c r="B33" s="37">
        <f>IF( ISERROR(IND_textiel_ele_kWh/1000),0,IND_textiel_ele_kWh/1000)</f>
        <v>8880.6703231396514</v>
      </c>
      <c r="C33" s="39">
        <f>IF(ISERROR(B33*3.6/1000000/'E Balans VL '!Z21*100),0,B33*3.6/1000000/'E Balans VL '!Z21*100)</f>
        <v>1.1691607272221354</v>
      </c>
      <c r="D33" s="234" t="s">
        <v>706</v>
      </c>
    </row>
    <row r="34" spans="1:5">
      <c r="A34" s="169" t="s">
        <v>36</v>
      </c>
      <c r="B34" s="37">
        <f>IF( ISERROR(IND_min_ele_kWh/1000),0,IND_min_ele_kWh/1000)</f>
        <v>2865.9942292711899</v>
      </c>
      <c r="C34" s="39">
        <f>IF(ISERROR(B34*3.6/1000000/'E Balans VL '!Z22*100),0,B34*3.6/1000000/'E Balans VL '!Z22*100)</f>
        <v>0.55740439643613504</v>
      </c>
      <c r="D34" s="234" t="s">
        <v>706</v>
      </c>
    </row>
    <row r="35" spans="1:5">
      <c r="A35" s="169" t="s">
        <v>38</v>
      </c>
      <c r="B35" s="37">
        <f>IF( ISERROR(IND_papier_ele_kWh/1000),0,IND_papier_ele_kWh/1000)</f>
        <v>1366.9759192264598</v>
      </c>
      <c r="C35" s="39">
        <f>IF(ISERROR(B35*3.6/1000000/'E Balans VL '!Z22*100),0,B35*3.6/1000000/'E Balans VL '!Z22*100)</f>
        <v>0.26586180091259942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12134.6244324369</v>
      </c>
      <c r="C37" s="39">
        <f>IF(ISERROR(B37*3.6/1000000/'E Balans VL '!Z15*100),0,B37*3.6/1000000/'E Balans VL '!Z15*100)</f>
        <v>9.0261836783105273E-2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4732.047669466353</v>
      </c>
      <c r="C5" s="17">
        <f>'Eigen informatie GS &amp; warmtenet'!B60</f>
        <v>0</v>
      </c>
      <c r="D5" s="30">
        <f>IF(ISERROR(SUM(LB_lb_gas_kWh,LB_rest_gas_kWh)/1000),0,SUM(LB_lb_gas_kWh,LB_rest_gas_kWh)/1000)*0.902</f>
        <v>28831.242945951431</v>
      </c>
      <c r="E5" s="17">
        <f>B17*'E Balans VL '!I25/3.6*1000000/100</f>
        <v>49.555027641195402</v>
      </c>
      <c r="F5" s="17">
        <f>B17*('E Balans VL '!L25/3.6*1000000+'E Balans VL '!N25/3.6*1000000)/100</f>
        <v>20256.75961791533</v>
      </c>
      <c r="G5" s="18"/>
      <c r="H5" s="17"/>
      <c r="I5" s="17"/>
      <c r="J5" s="17">
        <f>('E Balans VL '!D25+'E Balans VL '!E25)/3.6*1000000*landbouw!B17/100</f>
        <v>422.61427095017626</v>
      </c>
      <c r="K5" s="17"/>
      <c r="L5" s="17">
        <f>L6*(-1)</f>
        <v>0</v>
      </c>
      <c r="M5" s="17"/>
      <c r="N5" s="17">
        <f>N6*(-1)</f>
        <v>36051.428571428572</v>
      </c>
      <c r="O5" s="17"/>
      <c r="P5" s="17"/>
      <c r="R5" s="32"/>
    </row>
    <row r="6" spans="1:18">
      <c r="A6" s="16" t="s">
        <v>489</v>
      </c>
      <c r="B6" s="17" t="s">
        <v>210</v>
      </c>
      <c r="C6" s="17">
        <f>'lokale energieproductie'!O41+'lokale energieproductie'!O34</f>
        <v>30882.857142857145</v>
      </c>
      <c r="D6" s="304">
        <f>('lokale energieproductie'!P34+'lokale energieproductie'!P41)*(-1)</f>
        <v>-25714.285714285717</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-36051.428571428572</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4732.047669466353</v>
      </c>
      <c r="C8" s="21">
        <f>C5+C6</f>
        <v>30882.857142857145</v>
      </c>
      <c r="D8" s="21">
        <f>MAX((D5+D6),0)</f>
        <v>3116.9572316657141</v>
      </c>
      <c r="E8" s="21">
        <f>MAX((E5+E6),0)</f>
        <v>49.555027641195402</v>
      </c>
      <c r="F8" s="21">
        <f>MAX((F5+F6),0)</f>
        <v>20256.75961791533</v>
      </c>
      <c r="G8" s="21"/>
      <c r="H8" s="21"/>
      <c r="I8" s="21"/>
      <c r="J8" s="21">
        <f>MAX((J5+J6),0)</f>
        <v>422.61427095017626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0.20356598040001209</v>
      </c>
      <c r="C10" s="31">
        <f ca="1">'EF ele_warmte'!B22</f>
        <v>9.8942538774916045E-2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963.28392313451047</v>
      </c>
      <c r="C12" s="23">
        <f ca="1">C8*C10</f>
        <v>3055.6282903373358</v>
      </c>
      <c r="D12" s="23">
        <f>D8*D10</f>
        <v>629.6253607964743</v>
      </c>
      <c r="E12" s="23">
        <f>E8*E10</f>
        <v>11.248991274551356</v>
      </c>
      <c r="F12" s="23">
        <f>F8*F10</f>
        <v>5408.5548179833931</v>
      </c>
      <c r="G12" s="23"/>
      <c r="H12" s="23"/>
      <c r="I12" s="23"/>
      <c r="J12" s="23">
        <f>J8*J10</f>
        <v>149.6054519163624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0.7283534817313797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754.15168808354929</v>
      </c>
      <c r="C26" s="244">
        <f>B26*'GWP N2O_CH4'!B5</f>
        <v>15837.185449754536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337.90947823722905</v>
      </c>
      <c r="C27" s="244">
        <f>B27*'GWP N2O_CH4'!B5</f>
        <v>7096.0990429818103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11.88324002822279</v>
      </c>
      <c r="C28" s="244">
        <f>B28*'GWP N2O_CH4'!B4</f>
        <v>3683.8044087490648</v>
      </c>
      <c r="D28" s="50"/>
    </row>
    <row r="29" spans="1:4">
      <c r="A29" s="41" t="s">
        <v>272</v>
      </c>
      <c r="B29" s="244">
        <f>B34*'ha_N2O bodem landbouw'!B4</f>
        <v>42.124245996716958</v>
      </c>
      <c r="C29" s="244">
        <f>B29*'GWP N2O_CH4'!B4</f>
        <v>13058.516258982258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6.9615848980295828E-3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6.1952578295625476E-6</v>
      </c>
      <c r="C5" s="435" t="s">
        <v>210</v>
      </c>
      <c r="D5" s="420">
        <f>SUM(D6:D11)</f>
        <v>2.1307394982081555E-5</v>
      </c>
      <c r="E5" s="420">
        <f>SUM(E6:E11)</f>
        <v>2.1821288374186286E-3</v>
      </c>
      <c r="F5" s="433" t="s">
        <v>210</v>
      </c>
      <c r="G5" s="420">
        <f>SUM(G6:G11)</f>
        <v>0.4332330450566183</v>
      </c>
      <c r="H5" s="420">
        <f>SUM(H6:H11)</f>
        <v>6.9773168913439959E-2</v>
      </c>
      <c r="I5" s="435" t="s">
        <v>210</v>
      </c>
      <c r="J5" s="435" t="s">
        <v>210</v>
      </c>
      <c r="K5" s="435" t="s">
        <v>210</v>
      </c>
      <c r="L5" s="435" t="s">
        <v>210</v>
      </c>
      <c r="M5" s="420">
        <f>SUM(M6:M11)</f>
        <v>2.1874637269222341E-2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4.6678413638722235E-6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1.4779417226774191E-5</v>
      </c>
      <c r="E6" s="423">
        <f>vkm_GW_PW*SUMIFS(TableVerdeelsleutelVkm[LPG],TableVerdeelsleutelVkm[Voertuigtype],"Lichte voertuigen")*SUMIFS(TableECFTransport[EnergieConsumptieFactor (PJ per km)],TableECFTransport[Index],CONCATENATE($A6,"_LPG_LPG"))</f>
        <v>1.5401437913581809E-3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0.20514753695514504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4.9214451149192796E-2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1.1102685821966867E-2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2.8278655938880826E-7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0.12747372304558258</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3.4513486703458618E-6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5.4916209971998557E-3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1.2131639699539267E-6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6.5279777553073644E-6</v>
      </c>
      <c r="E8" s="423">
        <f>vkm_NGW_PW*SUMIFS(TableVerdeelsleutelVkm[LPG],TableVerdeelsleutelVkm[Voertuigtype],"Lichte voertuigen")*SUMIFS(TableECFTransport[EnergieConsumptieFactor (PJ per km)],TableECFTransport[Index],CONCATENATE($A8,"_LPG_LPG"))</f>
        <v>6.4198504606044742E-4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8.0964543608907258E-2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2.0554802875617936E-2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4.4339222669726001E-3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3.146593634758863E-8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1.9647241446983425E-2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4.6353995888353497E-7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8.4640818308301781E-4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1.7209049526562634</v>
      </c>
      <c r="C14" s="21"/>
      <c r="D14" s="21">
        <f t="shared" ref="D14:M14" si="0">((D5)*10^9/3600)+D12</f>
        <v>5.9187208283559869</v>
      </c>
      <c r="E14" s="21">
        <f t="shared" si="0"/>
        <v>606.14689928295229</v>
      </c>
      <c r="F14" s="21"/>
      <c r="G14" s="21">
        <f t="shared" si="0"/>
        <v>120342.51251572731</v>
      </c>
      <c r="H14" s="21">
        <f t="shared" si="0"/>
        <v>19381.435809288876</v>
      </c>
      <c r="I14" s="21"/>
      <c r="J14" s="21"/>
      <c r="K14" s="21"/>
      <c r="L14" s="21"/>
      <c r="M14" s="21">
        <f t="shared" si="0"/>
        <v>6076.2881303395397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0.20356598040001209</v>
      </c>
      <c r="C16" s="56">
        <f ca="1">'EF ele_warmte'!B22</f>
        <v>9.8942538774916045E-2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0.35031770386270866</v>
      </c>
      <c r="C18" s="23"/>
      <c r="D18" s="23">
        <f t="shared" ref="D18:M18" si="1">D14*D16</f>
        <v>1.1955816073279095</v>
      </c>
      <c r="E18" s="23">
        <f t="shared" si="1"/>
        <v>137.59534613723017</v>
      </c>
      <c r="F18" s="23"/>
      <c r="G18" s="23">
        <f t="shared" si="1"/>
        <v>32131.450841699196</v>
      </c>
      <c r="H18" s="23">
        <f t="shared" si="1"/>
        <v>4825.9775165129304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3.8059002291833047E-5</v>
      </c>
      <c r="C50" s="315">
        <f t="shared" ref="C50:P50" si="2">SUM(C51:C52)</f>
        <v>0</v>
      </c>
      <c r="D50" s="315">
        <f t="shared" si="2"/>
        <v>0</v>
      </c>
      <c r="E50" s="315">
        <f t="shared" si="2"/>
        <v>0</v>
      </c>
      <c r="F50" s="315">
        <f t="shared" si="2"/>
        <v>0</v>
      </c>
      <c r="G50" s="315">
        <f t="shared" si="2"/>
        <v>8.2565184402210653E-3</v>
      </c>
      <c r="H50" s="315">
        <f t="shared" si="2"/>
        <v>0</v>
      </c>
      <c r="I50" s="315">
        <f t="shared" si="2"/>
        <v>0</v>
      </c>
      <c r="J50" s="315">
        <f t="shared" si="2"/>
        <v>0</v>
      </c>
      <c r="K50" s="315">
        <f t="shared" si="2"/>
        <v>0</v>
      </c>
      <c r="L50" s="315">
        <f t="shared" si="2"/>
        <v>0</v>
      </c>
      <c r="M50" s="315">
        <f t="shared" si="2"/>
        <v>3.5351240426683507E-4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3.8059002291833047E-5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8.2565184402210653E-3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3.5351240426683507E-4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10.571945081064735</v>
      </c>
      <c r="C54" s="21">
        <f t="shared" ref="C54:P54" si="3">(C50)*10^9/3600</f>
        <v>0</v>
      </c>
      <c r="D54" s="21">
        <f t="shared" si="3"/>
        <v>0</v>
      </c>
      <c r="E54" s="21">
        <f t="shared" si="3"/>
        <v>0</v>
      </c>
      <c r="F54" s="21">
        <f t="shared" si="3"/>
        <v>0</v>
      </c>
      <c r="G54" s="21">
        <f t="shared" si="3"/>
        <v>2293.4773445058518</v>
      </c>
      <c r="H54" s="21">
        <f t="shared" si="3"/>
        <v>0</v>
      </c>
      <c r="I54" s="21">
        <f t="shared" si="3"/>
        <v>0</v>
      </c>
      <c r="J54" s="21">
        <f t="shared" si="3"/>
        <v>0</v>
      </c>
      <c r="K54" s="21">
        <f t="shared" si="3"/>
        <v>0</v>
      </c>
      <c r="L54" s="21">
        <f t="shared" si="3"/>
        <v>0</v>
      </c>
      <c r="M54" s="21">
        <f t="shared" si="3"/>
        <v>98.197890074120849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0.20356598040001209</v>
      </c>
      <c r="C56" s="56">
        <f ca="1">'EF ele_warmte'!B22</f>
        <v>9.8942538774916045E-2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2.1520883651620282</v>
      </c>
      <c r="C58" s="23">
        <f t="shared" ref="C58:P58" ca="1" si="4">C54*C56</f>
        <v>0</v>
      </c>
      <c r="D58" s="23">
        <f t="shared" si="4"/>
        <v>0</v>
      </c>
      <c r="E58" s="23">
        <f t="shared" si="4"/>
        <v>0</v>
      </c>
      <c r="F58" s="23">
        <f t="shared" si="4"/>
        <v>0</v>
      </c>
      <c r="G58" s="23">
        <f t="shared" si="4"/>
        <v>612.35845098306243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4231.7251991108506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N31</f>
        <v>21618.375</v>
      </c>
      <c r="C8" s="546">
        <f>B50</f>
        <v>10588.994587565227</v>
      </c>
      <c r="D8" s="965"/>
      <c r="E8" s="965">
        <f>E50</f>
        <v>0</v>
      </c>
      <c r="F8" s="966"/>
      <c r="G8" s="547"/>
      <c r="H8" s="965">
        <f>I50</f>
        <v>0</v>
      </c>
      <c r="I8" s="965">
        <f>G50+F50</f>
        <v>0</v>
      </c>
      <c r="J8" s="965">
        <f>H50+D50+C50</f>
        <v>14844.327213287375</v>
      </c>
      <c r="K8" s="965"/>
      <c r="L8" s="965"/>
      <c r="M8" s="965"/>
      <c r="N8" s="548"/>
      <c r="O8" s="549">
        <f>C8*$C$12+D8*$D$12+E8*$E$12+F8*$F$12+G8*$G$12+H8*$H$12+I8*$I$12+J8*$J$12</f>
        <v>2138.9769066881759</v>
      </c>
      <c r="P8" s="1255"/>
      <c r="Q8" s="1256"/>
      <c r="S8" s="998"/>
      <c r="T8" s="1252"/>
      <c r="U8" s="1252"/>
    </row>
    <row r="9" spans="1:21" s="534" customFormat="1" ht="17.45" customHeight="1" thickBot="1">
      <c r="A9" s="550" t="s">
        <v>243</v>
      </c>
      <c r="B9" s="1002">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25850.10019911085</v>
      </c>
      <c r="C10" s="558">
        <f t="shared" ref="C10:L10" si="0">SUM(C8:C9)</f>
        <v>10588.994587565227</v>
      </c>
      <c r="D10" s="558">
        <f t="shared" si="0"/>
        <v>0</v>
      </c>
      <c r="E10" s="558">
        <f t="shared" si="0"/>
        <v>0</v>
      </c>
      <c r="F10" s="558">
        <f t="shared" si="0"/>
        <v>0</v>
      </c>
      <c r="G10" s="558">
        <f t="shared" si="0"/>
        <v>0</v>
      </c>
      <c r="H10" s="558">
        <f t="shared" si="0"/>
        <v>0</v>
      </c>
      <c r="I10" s="558">
        <f t="shared" si="0"/>
        <v>0</v>
      </c>
      <c r="J10" s="558">
        <f t="shared" si="0"/>
        <v>14844.327213287375</v>
      </c>
      <c r="K10" s="558">
        <f t="shared" si="0"/>
        <v>0</v>
      </c>
      <c r="L10" s="558">
        <f t="shared" si="0"/>
        <v>0</v>
      </c>
      <c r="M10" s="960"/>
      <c r="N10" s="960"/>
      <c r="O10" s="559">
        <f>SUM(O4:O9)</f>
        <v>2138.9769066881759</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O31</f>
        <v>30884.732142857145</v>
      </c>
      <c r="C17" s="570">
        <f>B51</f>
        <v>15127.791126720489</v>
      </c>
      <c r="D17" s="571"/>
      <c r="E17" s="571">
        <f>E51</f>
        <v>0</v>
      </c>
      <c r="F17" s="572"/>
      <c r="G17" s="573"/>
      <c r="H17" s="570">
        <f>I51</f>
        <v>0</v>
      </c>
      <c r="I17" s="571">
        <f>G51+F51</f>
        <v>0</v>
      </c>
      <c r="J17" s="571">
        <f>H51+D51+C51</f>
        <v>21207.101358141193</v>
      </c>
      <c r="K17" s="571"/>
      <c r="L17" s="571"/>
      <c r="M17" s="571"/>
      <c r="N17" s="961"/>
      <c r="O17" s="574">
        <f>C17*$C$22+E17*$E$22+H17*$H$22+I17*$I$22+J17*$J$22+D17*$D$22+F17*$F$22+G17*$G$22+K17*$K$22+L17*$L$22</f>
        <v>3055.8138075975389</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30884.732142857145</v>
      </c>
      <c r="C20" s="557">
        <f>SUM(C17:C19)</f>
        <v>15127.791126720489</v>
      </c>
      <c r="D20" s="557">
        <f t="shared" ref="D20:L20" si="1">SUM(D17:D19)</f>
        <v>0</v>
      </c>
      <c r="E20" s="557">
        <f t="shared" si="1"/>
        <v>0</v>
      </c>
      <c r="F20" s="557">
        <f t="shared" si="1"/>
        <v>0</v>
      </c>
      <c r="G20" s="557">
        <f t="shared" si="1"/>
        <v>0</v>
      </c>
      <c r="H20" s="557">
        <f t="shared" si="1"/>
        <v>0</v>
      </c>
      <c r="I20" s="557">
        <f t="shared" si="1"/>
        <v>0</v>
      </c>
      <c r="J20" s="557">
        <f t="shared" si="1"/>
        <v>21207.101358141193</v>
      </c>
      <c r="K20" s="557">
        <f t="shared" si="1"/>
        <v>0</v>
      </c>
      <c r="L20" s="557">
        <f t="shared" si="1"/>
        <v>0</v>
      </c>
      <c r="M20" s="557"/>
      <c r="N20" s="557"/>
      <c r="O20" s="578">
        <f>SUM(O17:O19)</f>
        <v>3055.8138075975389</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44011</v>
      </c>
      <c r="C28" s="777">
        <v>9800</v>
      </c>
      <c r="D28" s="630" t="s">
        <v>983</v>
      </c>
      <c r="E28" s="629" t="s">
        <v>984</v>
      </c>
      <c r="F28" s="629" t="s">
        <v>985</v>
      </c>
      <c r="G28" s="629" t="s">
        <v>986</v>
      </c>
      <c r="H28" s="629" t="s">
        <v>986</v>
      </c>
      <c r="I28" s="629" t="s">
        <v>984</v>
      </c>
      <c r="J28" s="776">
        <v>40679</v>
      </c>
      <c r="K28" s="776">
        <v>40848</v>
      </c>
      <c r="L28" s="629" t="s">
        <v>987</v>
      </c>
      <c r="M28" s="629">
        <v>1</v>
      </c>
      <c r="N28" s="629">
        <v>0.375</v>
      </c>
      <c r="O28" s="629">
        <v>1.875</v>
      </c>
      <c r="P28" s="629">
        <v>2.5</v>
      </c>
      <c r="Q28" s="629">
        <v>0</v>
      </c>
      <c r="R28" s="629">
        <v>0</v>
      </c>
      <c r="S28" s="629">
        <v>0</v>
      </c>
      <c r="T28" s="629">
        <v>0</v>
      </c>
      <c r="U28" s="629">
        <v>0</v>
      </c>
      <c r="V28" s="629">
        <v>0</v>
      </c>
      <c r="W28" s="629">
        <v>0</v>
      </c>
      <c r="X28" s="629">
        <v>1600</v>
      </c>
      <c r="Y28" s="629" t="s">
        <v>49</v>
      </c>
      <c r="Z28" s="631" t="s">
        <v>155</v>
      </c>
    </row>
    <row r="29" spans="1:26" s="583" customFormat="1" ht="25.5">
      <c r="A29" s="582"/>
      <c r="B29" s="777">
        <v>44011</v>
      </c>
      <c r="C29" s="777">
        <v>9800</v>
      </c>
      <c r="D29" s="630" t="s">
        <v>988</v>
      </c>
      <c r="E29" s="629" t="s">
        <v>989</v>
      </c>
      <c r="F29" s="629" t="s">
        <v>990</v>
      </c>
      <c r="G29" s="629" t="s">
        <v>991</v>
      </c>
      <c r="H29" s="629" t="s">
        <v>992</v>
      </c>
      <c r="I29" s="629" t="s">
        <v>989</v>
      </c>
      <c r="J29" s="776">
        <v>39860</v>
      </c>
      <c r="K29" s="776">
        <v>39875</v>
      </c>
      <c r="L29" s="629" t="s">
        <v>987</v>
      </c>
      <c r="M29" s="629">
        <v>2000</v>
      </c>
      <c r="N29" s="629">
        <v>9000</v>
      </c>
      <c r="O29" s="629">
        <v>12857.142857142857</v>
      </c>
      <c r="P29" s="629">
        <v>25714.285714285717</v>
      </c>
      <c r="Q29" s="629">
        <v>0</v>
      </c>
      <c r="R29" s="629">
        <v>0</v>
      </c>
      <c r="S29" s="629">
        <v>0</v>
      </c>
      <c r="T29" s="629">
        <v>0</v>
      </c>
      <c r="U29" s="629">
        <v>0</v>
      </c>
      <c r="V29" s="629">
        <v>0</v>
      </c>
      <c r="W29" s="629">
        <v>0</v>
      </c>
      <c r="X29" s="629">
        <v>10</v>
      </c>
      <c r="Y29" s="629" t="s">
        <v>111</v>
      </c>
      <c r="Z29" s="631" t="s">
        <v>111</v>
      </c>
    </row>
    <row r="30" spans="1:26" s="583" customFormat="1" ht="38.25">
      <c r="A30" s="582"/>
      <c r="B30" s="777">
        <v>44011</v>
      </c>
      <c r="C30" s="777">
        <v>9800</v>
      </c>
      <c r="D30" s="630" t="s">
        <v>993</v>
      </c>
      <c r="E30" s="629" t="s">
        <v>994</v>
      </c>
      <c r="F30" s="629" t="s">
        <v>995</v>
      </c>
      <c r="G30" s="629" t="s">
        <v>996</v>
      </c>
      <c r="H30" s="629" t="s">
        <v>992</v>
      </c>
      <c r="I30" s="629" t="s">
        <v>994</v>
      </c>
      <c r="J30" s="776">
        <v>40718</v>
      </c>
      <c r="K30" s="776">
        <v>40718</v>
      </c>
      <c r="L30" s="629" t="s">
        <v>987</v>
      </c>
      <c r="M30" s="629">
        <v>5608</v>
      </c>
      <c r="N30" s="629">
        <v>12618</v>
      </c>
      <c r="O30" s="629">
        <v>18025.714285714286</v>
      </c>
      <c r="P30" s="629">
        <v>0</v>
      </c>
      <c r="Q30" s="629">
        <v>0</v>
      </c>
      <c r="R30" s="629">
        <v>0</v>
      </c>
      <c r="S30" s="629">
        <v>0</v>
      </c>
      <c r="T30" s="629">
        <v>0</v>
      </c>
      <c r="U30" s="629">
        <v>0</v>
      </c>
      <c r="V30" s="629">
        <v>36051.428571428572</v>
      </c>
      <c r="W30" s="629">
        <v>0</v>
      </c>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7609</v>
      </c>
      <c r="N31" s="587">
        <f>SUM(N28:N30)</f>
        <v>21618.375</v>
      </c>
      <c r="O31" s="587">
        <f>SUM(O28:O30)</f>
        <v>30884.732142857145</v>
      </c>
      <c r="P31" s="587">
        <f>SUM(P28:P30)</f>
        <v>25716.785714285717</v>
      </c>
      <c r="Q31" s="587">
        <f>SUM(Q28:Q30)</f>
        <v>0</v>
      </c>
      <c r="R31" s="587">
        <f>SUM(R28:R30)</f>
        <v>0</v>
      </c>
      <c r="S31" s="587">
        <f>SUM(S28:S30)</f>
        <v>0</v>
      </c>
      <c r="T31" s="587">
        <f>SUM(T28:T30)</f>
        <v>0</v>
      </c>
      <c r="U31" s="587">
        <f>SUM(U28:U30)</f>
        <v>0</v>
      </c>
      <c r="V31" s="587">
        <f>SUM(V28:V30)</f>
        <v>36051.428571428572</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1</v>
      </c>
      <c r="N33" s="587">
        <f ca="1">SUMIF($Z$28:AD30,"tertiair",N28:N30)</f>
        <v>0.375</v>
      </c>
      <c r="O33" s="587">
        <f ca="1">SUMIF($Z$28:AE30,"tertiair",O28:O30)</f>
        <v>1.875</v>
      </c>
      <c r="P33" s="587">
        <f ca="1">SUMIF($Z$28:AF30,"tertiair",P28:P30)</f>
        <v>2.5</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7608</v>
      </c>
      <c r="N34" s="592">
        <f>SUMIF($Z$28:$Z$30,"landbouw",N28:N30)</f>
        <v>21618</v>
      </c>
      <c r="O34" s="592">
        <f>SUMIF($Z$28:$Z$30,"landbouw",O28:O30)</f>
        <v>30882.857142857145</v>
      </c>
      <c r="P34" s="592">
        <f>SUMIF($Z$28:$Z$30,"landbouw",P28:P30)</f>
        <v>25714.285714285717</v>
      </c>
      <c r="Q34" s="592">
        <f>SUMIF($Z$28:$Z$30,"landbouw",Q28:Q30)</f>
        <v>0</v>
      </c>
      <c r="R34" s="592">
        <f>SUMIF($Z$28:$Z$30,"landbouw",R28:R30)</f>
        <v>0</v>
      </c>
      <c r="S34" s="592">
        <f>SUMIF($Z$28:$Z$30,"landbouw",S28:S30)</f>
        <v>0</v>
      </c>
      <c r="T34" s="592">
        <f>SUMIF($Z$28:$Z$30,"landbouw",T28:T30)</f>
        <v>0</v>
      </c>
      <c r="U34" s="592">
        <f>SUMIF($Z$28:$Z$30,"landbouw",U28:U30)</f>
        <v>0</v>
      </c>
      <c r="V34" s="592">
        <f>SUMIF($Z$28:$Z$30,"landbouw",V28:V30)</f>
        <v>36051.428571428572</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535</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0.58824579769768726</v>
      </c>
      <c r="C47" s="612">
        <f>IF(ISERROR(N31/(O31+N31)),0,N31/(N31+O31))</f>
        <v>0.41175420230231269</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535</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10588.994587565227</v>
      </c>
      <c r="C50" s="621">
        <f t="shared" si="2"/>
        <v>0</v>
      </c>
      <c r="D50" s="621">
        <f t="shared" si="2"/>
        <v>0</v>
      </c>
      <c r="E50" s="621">
        <f t="shared" si="2"/>
        <v>0</v>
      </c>
      <c r="F50" s="621">
        <f t="shared" si="2"/>
        <v>0</v>
      </c>
      <c r="G50" s="621">
        <f t="shared" si="2"/>
        <v>0</v>
      </c>
      <c r="H50" s="621">
        <f t="shared" si="2"/>
        <v>14844.327213287375</v>
      </c>
      <c r="I50" s="622">
        <f t="shared" si="2"/>
        <v>0</v>
      </c>
      <c r="J50" s="579"/>
      <c r="K50" s="579"/>
      <c r="L50" s="617"/>
      <c r="M50" s="617"/>
      <c r="N50" s="617"/>
      <c r="O50" s="604"/>
      <c r="P50" s="604"/>
    </row>
    <row r="51" spans="1:16" ht="15.75" thickBot="1">
      <c r="A51" s="623" t="s">
        <v>281</v>
      </c>
      <c r="B51" s="624">
        <f t="shared" ref="B51:I51" si="3">$B$47*P31</f>
        <v>15127.791126720489</v>
      </c>
      <c r="C51" s="624">
        <f t="shared" si="3"/>
        <v>0</v>
      </c>
      <c r="D51" s="624">
        <f t="shared" si="3"/>
        <v>0</v>
      </c>
      <c r="E51" s="624">
        <f t="shared" si="3"/>
        <v>0</v>
      </c>
      <c r="F51" s="624">
        <f t="shared" si="3"/>
        <v>0</v>
      </c>
      <c r="G51" s="624">
        <f t="shared" si="3"/>
        <v>0</v>
      </c>
      <c r="H51" s="624">
        <f t="shared" si="3"/>
        <v>21207.101358141193</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2021-06-29T17:02:40Z</dcterms:modified>
</cp:coreProperties>
</file>