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D10" i="18" s="1"/>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B6" i="18"/>
  <c r="B5" i="18"/>
  <c r="B4" i="18"/>
  <c r="F20" i="18" l="1"/>
  <c r="I9" i="18"/>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I8" i="18"/>
  <c r="I10" i="18" s="1"/>
  <c r="H10" i="18"/>
  <c r="M76" i="14"/>
  <c r="E10" i="18"/>
  <c r="F76" i="14"/>
  <c r="P9" i="55"/>
  <c r="J20" i="18"/>
  <c r="J87" i="14"/>
  <c r="I20" i="18"/>
  <c r="I87" i="14"/>
  <c r="I17" i="55" s="1"/>
  <c r="I20" i="55" s="1"/>
  <c r="O8" i="18"/>
  <c r="O10" i="18" s="1"/>
  <c r="Q87" i="14"/>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B36" i="13" l="1"/>
  <c r="B35" i="13"/>
  <c r="C35" i="13" s="1"/>
  <c r="B34" i="13"/>
  <c r="B33" i="13"/>
  <c r="B32" i="13"/>
  <c r="C34" i="13"/>
  <c r="P5" i="13"/>
  <c r="P8" i="13" s="1"/>
  <c r="Q11" i="14" s="1"/>
  <c r="B37"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Q46" i="14"/>
  <c r="Q61" i="14" s="1"/>
  <c r="L63" i="14"/>
  <c r="P33" i="48"/>
  <c r="K15" i="48"/>
  <c r="K23" i="48"/>
  <c r="K33" i="48" s="1"/>
  <c r="I23" i="48"/>
  <c r="I33" i="48" s="1"/>
  <c r="I15" i="48"/>
  <c r="Q63" i="14"/>
  <c r="O8" i="48"/>
  <c r="O26" i="48" s="1"/>
  <c r="P13" i="14"/>
  <c r="P16" i="14" s="1"/>
  <c r="P27" i="14" s="1"/>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O15" i="48" l="1"/>
  <c r="P63" i="14"/>
  <c r="H22" i="14"/>
  <c r="H27" i="14" s="1"/>
  <c r="O33" i="48"/>
  <c r="R19" i="14"/>
  <c r="R11" i="14"/>
  <c r="E22" i="48"/>
  <c r="Q4" i="48"/>
  <c r="H52" i="14"/>
  <c r="H61"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H63" i="14" l="1"/>
  <c r="G33" i="48"/>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<sst xmlns="http://schemas.openxmlformats.org/spreadsheetml/2006/main" count="2581" uniqueCount="983">
  <si>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</si>
  <si>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</si>
  <si>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</si>
  <si>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</si>
  <si>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</si>
  <si>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</si>
  <si>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</si>
  <si>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</si>
  <si>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</si>
  <si>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</si>
  <si>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</si>
  <si>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</si>
  <si>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</si>
  <si>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</si>
  <si>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</si>
  <si>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</si>
  <si>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</si>
  <si>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</si>
  <si>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</si>
  <si>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</si>
  <si>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</si>
  <si>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</si>
  <si>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</si>
  <si>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</si>
  <si>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</si>
  <si>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</si>
  <si>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</si>
  <si>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</si>
  <si>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</si>
  <si>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</si>
  <si>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</si>
  <si>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</si>
  <si>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</si>
  <si>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</si>
  <si>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</si>
  <si>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</si>
  <si>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</si>
  <si>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</si>
  <si>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</si>
  <si>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</si>
  <si>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</si>
  <si>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</si>
  <si>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</si>
  <si>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</si>
  <si>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</si>
  <si>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</si>
  <si>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</si>
  <si>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</si>
  <si>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</si>
  <si>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</si>
  <si>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</si>
  <si>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</si>
  <si>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</si>
  <si>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</si>
  <si>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</si>
  <si>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</si>
  <si>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</si>
  <si>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</si>
  <si>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</si>
  <si>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</si>
  <si>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</si>
  <si>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</si>
  <si>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</si>
  <si>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</si>
  <si>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</si>
  <si>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</si>
  <si>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</si>
  <si>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</si>
  <si>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</si>
  <si>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</si>
  <si>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</si>
  <si>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</si>
  <si>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</si>
  <si>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</si>
  <si>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</si>
  <si>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</si>
  <si>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</si>
  <si>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</si>
  <si>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</si>
  <si>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</si>
  <si>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</si>
  <si>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</si>
  <si>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</si>
  <si>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</si>
  <si>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</si>
  <si>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</si>
  <si>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</si>
  <si>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</si>
  <si>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</si>
  <si>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</si>
  <si>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</si>
  <si>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</si>
  <si>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</si>
  <si>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</si>
  <si>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</si>
  <si>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</si>
  <si>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</si>
  <si>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</si>
  <si>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</si>
  <si>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</si>
  <si>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</si>
  <si>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</si>
  <si>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</si>
  <si>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</si>
  <si>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</si>
  <si>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</si>
  <si>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</si>
  <si>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</si>
  <si>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</si>
  <si>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</si>
  <si>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</si>
  <si>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</si>
  <si>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</si>
  <si>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</si>
  <si>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</si>
  <si>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</si>
  <si>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</si>
  <si>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</si>
  <si>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</si>
  <si>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</si>
  <si>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</si>
  <si>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</si>
  <si>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</si>
  <si>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</si>
  <si>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</si>
  <si>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</si>
  <si>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</si>
  <si>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</si>
  <si>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</si>
  <si>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</si>
  <si>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</si>
  <si>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</si>
  <si>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</si>
  <si>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</si>
  <si>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</si>
  <si>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</si>
  <si>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</si>
  <si>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</si>
  <si>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</si>
  <si>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</si>
  <si>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</si>
  <si>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</si>
  <si>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</si>
  <si>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</si>
  <si>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</si>
  <si>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</si>
  <si>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</si>
  <si>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</si>
  <si>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</si>
  <si>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</si>
  <si>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</si>
  <si>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</si>
  <si>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</si>
  <si>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</si>
  <si>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</si>
  <si>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</si>
  <si>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</si>
  <si>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</si>
  <si>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</si>
  <si>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</si>
  <si>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</si>
  <si>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</si>
  <si>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</si>
  <si>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</si>
  <si>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</si>
  <si>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</si>
  <si>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</si>
  <si>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</si>
  <si>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</si>
  <si>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</si>
  <si>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</si>
  <si>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</si>
  <si>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</si>
  <si>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</si>
  <si>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</si>
  <si>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</si>
  <si>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</si>
  <si>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</si>
  <si>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</si>
  <si>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</si>
  <si>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</si>
  <si>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</si>
  <si>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</si>
  <si>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</si>
  <si>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</si>
  <si>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</si>
  <si>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</si>
  <si>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</si>
  <si>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</si>
  <si>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</si>
  <si>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</si>
  <si>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</si>
  <si>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</si>
  <si>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</si>
  <si>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</si>
  <si>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</si>
  <si>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</si>
  <si>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</si>
  <si>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</si>
  <si>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</si>
  <si>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</si>
  <si>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</si>
  <si>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</si>
  <si>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</si>
  <si>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</si>
  <si>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</si>
  <si>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</si>
  <si>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</si>
  <si>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</si>
  <si>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</si>
  <si>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</si>
  <si>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</si>
  <si>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</si>
  <si>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</si>
  <si>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</si>
  <si>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</si>
  <si>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</si>
  <si>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</si>
  <si>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</si>
  <si>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</si>
  <si>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</si>
  <si>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</si>
  <si>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</si>
  <si>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</si>
  <si>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</si>
  <si>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</si>
  <si>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</si>
  <si>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</si>
  <si>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</si>
  <si>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</si>
  <si>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</si>
  <si>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</si>
  <si>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</si>
  <si>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</si>
  <si>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</si>
  <si>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</si>
  <si>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</si>
  <si>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</si>
  <si>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</si>
  <si>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</si>
  <si>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</si>
  <si>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</si>
  <si>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</si>
  <si>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</si>
  <si>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</si>
  <si>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</si>
  <si>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</si>
  <si>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</si>
  <si>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</si>
  <si>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</si>
  <si>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</si>
  <si>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</si>
  <si>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</si>
  <si>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</si>
  <si>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</si>
  <si>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</si>
  <si>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</si>
  <si>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</si>
  <si>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</si>
  <si>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</si>
  <si>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</si>
  <si>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</si>
  <si>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</si>
  <si>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</si>
  <si>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</si>
  <si>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</si>
  <si>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</si>
  <si>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</si>
  <si>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</si>
  <si>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</si>
  <si>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</si>
  <si>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</si>
  <si>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</si>
  <si>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</si>
  <si>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</si>
  <si>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</si>
  <si>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</si>
  <si>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</si>
  <si>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</si>
  <si>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</si>
  <si>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</si>
  <si>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</si>
  <si>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</si>
  <si>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</si>
  <si>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</si>
  <si>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</si>
  <si>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</si>
  <si>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</si>
  <si>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</si>
  <si>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</si>
  <si>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</si>
  <si>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</si>
  <si>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</si>
  <si>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</si>
  <si>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</si>
  <si>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</si>
  <si>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</si>
  <si>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</si>
  <si>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</si>
  <si>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</si>
  <si>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</si>
  <si>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</si>
  <si>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</si>
  <si>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</si>
  <si>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</si>
  <si>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</si>
  <si>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</si>
  <si>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</si>
  <si>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</si>
  <si>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</si>
  <si>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</si>
  <si>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</si>
  <si>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</si>
  <si>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</si>
  <si>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</si>
  <si>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</si>
  <si>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</si>
  <si>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</si>
  <si>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</si>
  <si>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</si>
  <si>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</si>
  <si>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</si>
  <si>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</si>
  <si>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</si>
  <si>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</si>
  <si>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</si>
  <si>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</si>
  <si>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</si>
  <si>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</si>
  <si>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</si>
  <si>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</si>
  <si>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</si>
  <si>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</si>
  <si>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</si>
  <si>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</si>
  <si>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</si>
  <si>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</si>
  <si>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</si>
  <si>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</si>
  <si>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</si>
  <si>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</si>
  <si>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</si>
  <si>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</si>
  <si>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</si>
  <si>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</si>
  <si>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</si>
  <si>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</si>
  <si>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</si>
  <si>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</si>
  <si>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</si>
  <si>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</si>
  <si>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</si>
  <si>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</si>
  <si>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</si>
  <si>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</si>
  <si>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</si>
  <si>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</si>
  <si>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</si>
  <si>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</si>
  <si>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</si>
  <si>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</si>
  <si>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</si>
  <si>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</si>
  <si>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</si>
  <si>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</si>
  <si>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</si>
  <si>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</si>
  <si>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</si>
  <si>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</si>
  <si>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</si>
  <si>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</si>
  <si>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</si>
  <si>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</si>
  <si>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</si>
  <si>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</si>
  <si>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</si>
  <si>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</si>
  <si>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</si>
  <si>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</si>
  <si>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</si>
  <si>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</si>
  <si>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</si>
  <si>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</si>
  <si>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</si>
  <si>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</si>
  <si>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</si>
  <si>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</si>
  <si>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</si>
  <si>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</si>
  <si>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</si>
  <si>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</si>
  <si>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</si>
  <si>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</si>
  <si>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</si>
  <si>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</si>
  <si>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</si>
  <si>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</si>
  <si>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</si>
  <si>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</si>
  <si>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</si>
  <si>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</si>
  <si>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</si>
  <si>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</si>
  <si>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</si>
  <si>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</si>
  <si>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</si>
  <si>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</si>
  <si>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</si>
  <si>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</si>
  <si>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</si>
  <si>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</si>
  <si>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</si>
  <si>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</si>
  <si>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</si>
  <si>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</si>
  <si>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</si>
  <si>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</si>
  <si>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</si>
  <si>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</si>
  <si>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</si>
  <si>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</si>
  <si>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</si>
  <si>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</si>
  <si>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</si>
  <si>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</si>
  <si>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</si>
  <si>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</si>
  <si>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</si>
  <si>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</si>
  <si>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</si>
  <si>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</si>
  <si>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</si>
  <si>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</si>
  <si>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</si>
  <si>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</si>
  <si>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</si>
  <si>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</si>
  <si>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</si>
  <si>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</si>
  <si>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</si>
  <si>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</si>
  <si>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</si>
  <si>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</si>
  <si>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</si>
  <si>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</si>
  <si>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</si>
  <si>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</si>
  <si>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</si>
  <si>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</si>
  <si>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</si>
  <si>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</si>
  <si>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</si>
  <si>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</si>
  <si>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</si>
  <si>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</si>
  <si>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</si>
  <si>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</si>
  <si>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</si>
  <si>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</si>
  <si>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</si>
  <si>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</si>
  <si>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</si>
  <si>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</si>
  <si>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</si>
  <si>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</si>
  <si>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</si>
  <si>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</si>
  <si>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</si>
  <si>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</si>
  <si>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</si>
  <si>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</si>
  <si>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</si>
  <si>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</si>
  <si>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</si>
  <si>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</si>
  <si>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</si>
  <si>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</si>
  <si>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</si>
  <si>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</si>
  <si>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</si>
  <si>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</si>
  <si>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</si>
  <si>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</si>
  <si>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</si>
  <si>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</si>
  <si>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</si>
  <si>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</si>
  <si>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</si>
  <si>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</si>
  <si>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</si>
  <si>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</si>
  <si>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</si>
  <si>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</si>
  <si>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</si>
  <si>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</si>
  <si>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</si>
  <si>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</si>
  <si>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</si>
  <si>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</si>
  <si>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</si>
  <si>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</si>
  <si>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</si>
  <si>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</si>
  <si>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</si>
  <si>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</si>
  <si>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</si>
  <si>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</si>
  <si>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</si>
  <si>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</si>
  <si>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</si>
  <si>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</si>
  <si>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</si>
  <si>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</si>
  <si>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</si>
  <si>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</si>
  <si>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</si>
  <si>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</si>
  <si>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</si>
  <si>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</si>
  <si>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</si>
  <si>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</si>
  <si>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</si>
  <si>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</si>
  <si>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</si>
  <si>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</si>
  <si>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</si>
  <si>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</si>
  <si>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</si>
  <si>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</si>
  <si>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</si>
  <si>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</si>
  <si>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</si>
  <si>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</si>
  <si>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</si>
  <si>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</si>
  <si>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</si>
  <si>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</si>
  <si>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</si>
  <si>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</si>
  <si>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</si>
  <si>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</si>
  <si>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</si>
  <si>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</si>
  <si>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</si>
  <si>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</si>
  <si>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</si>
  <si>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</si>
  <si>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</si>
  <si>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</si>
  <si>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</si>
  <si>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</si>
  <si>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</si>
  <si>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</si>
  <si>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</si>
  <si>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</si>
  <si>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</si>
  <si>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</si>
  <si>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</si>
  <si>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</si>
  <si>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</si>
  <si>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</si>
  <si>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</si>
  <si>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</si>
  <si>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</si>
  <si>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</si>
  <si>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</si>
  <si>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</si>
  <si>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</si>
  <si>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</si>
  <si>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</si>
  <si>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</si>
  <si>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</si>
  <si>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</si>
  <si>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</si>
  <si>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</si>
  <si>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</si>
  <si>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</si>
  <si>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</si>
  <si>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</si>
  <si>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</si>
  <si>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</si>
  <si>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</si>
  <si>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</si>
  <si>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</si>
  <si>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</si>
  <si>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</si>
  <si>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</si>
  <si>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</si>
  <si>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</si>
  <si>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</si>
  <si>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</si>
  <si>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</si>
  <si>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</si>
  <si>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</si>
  <si>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</si>
  <si>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</si>
  <si>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</si>
  <si>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</si>
  <si>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</si>
  <si>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</si>
  <si>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</si>
  <si>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</si>
  <si>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</si>
  <si>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</si>
  <si>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</si>
  <si>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</si>
  <si>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</si>
  <si>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</si>
  <si>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</si>
  <si>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</si>
  <si>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</si>
  <si>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</si>
  <si>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</si>
  <si>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</si>
  <si>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</si>
  <si>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</si>
  <si>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</si>
  <si>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</si>
  <si>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</si>
  <si>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</si>
  <si>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</si>
  <si>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</si>
  <si>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</si>
  <si>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</si>
  <si>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</si>
  <si>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</si>
  <si>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</si>
  <si>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</si>
  <si>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</si>
  <si>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</si>
  <si>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</si>
  <si>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</si>
  <si>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</si>
  <si>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</si>
  <si>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</si>
  <si>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</si>
  <si>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</si>
  <si>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</si>
  <si>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</si>
  <si>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</si>
  <si>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</si>
  <si>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</si>
  <si>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</si>
  <si>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</si>
  <si>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</si>
  <si>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</si>
  <si>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</si>
  <si>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</si>
  <si>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</si>
  <si>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</si>
  <si>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</si>
  <si>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</si>
  <si>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</si>
  <si>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</si>
  <si>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</si>
  <si>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</si>
  <si>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</si>
  <si>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</si>
  <si>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</si>
  <si>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</si>
  <si>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</si>
  <si>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</si>
  <si>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</si>
  <si>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</si>
  <si>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</si>
  <si>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</si>
  <si>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</si>
  <si>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</si>
  <si>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</si>
  <si>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</si>
  <si>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</si>
  <si>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</si>
  <si>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</si>
  <si>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</si>
  <si>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</si>
  <si>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</si>
  <si>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</si>
  <si>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</si>
  <si>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</si>
  <si>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</si>
  <si>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</si>
  <si>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</si>
  <si>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</si>
  <si>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</si>
  <si>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</si>
  <si>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</si>
  <si>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</si>
  <si>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</si>
  <si>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</si>
  <si>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</si>
  <si>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</si>
  <si>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</si>
  <si>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</si>
  <si>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</si>
  <si>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</si>
  <si>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</si>
  <si>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</si>
  <si>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</si>
  <si>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</si>
  <si>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</si>
  <si>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</si>
  <si>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</si>
  <si>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</si>
  <si>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</si>
  <si>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</si>
  <si>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</si>
  <si>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</si>
  <si>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</si>
  <si>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</si>
  <si>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</si>
  <si>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</si>
  <si>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</si>
  <si>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</si>
  <si>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</si>
  <si>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</si>
  <si>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</si>
  <si>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</si>
  <si>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</si>
  <si>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</si>
  <si>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</si>
  <si>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</si>
  <si>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</si>
  <si>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</si>
  <si>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</si>
  <si>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</si>
  <si>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</si>
  <si>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</si>
  <si>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</si>
  <si>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</si>
  <si>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</si>
  <si>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</si>
  <si>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</si>
  <si>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</si>
  <si>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</si>
  <si>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</si>
  <si>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</si>
  <si>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</si>
  <si>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</si>
  <si>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</si>
  <si>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</si>
  <si>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</si>
  <si>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</si>
  <si>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</si>
  <si>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</si>
  <si>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</si>
  <si>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</si>
  <si>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</si>
  <si>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</si>
  <si>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</si>
  <si>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</si>
  <si>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</si>
  <si>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</si>
  <si>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</si>
  <si>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</si>
  <si>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</si>
  <si>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</si>
  <si>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</si>
  <si>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</si>
  <si>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</si>
  <si>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</si>
  <si>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</si>
  <si>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</si>
  <si>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</si>
  <si>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</si>
  <si>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</si>
  <si>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</si>
  <si>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</si>
  <si>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</si>
  <si>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</si>
  <si>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</si>
  <si>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</si>
  <si>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</si>
  <si>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</si>
  <si>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</si>
  <si>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</si>
  <si>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</si>
  <si>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</si>
  <si>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</si>
  <si>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</si>
  <si>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</si>
  <si>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</si>
  <si>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</si>
  <si>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</si>
  <si>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</si>
  <si>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</si>
  <si>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</si>
  <si>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</si>
  <si>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</si>
  <si>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</si>
  <si>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</si>
  <si>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</si>
  <si>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</si>
  <si>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</si>
  <si>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</si>
  <si>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</si>
  <si>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</si>
  <si>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</si>
  <si>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</si>
  <si>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</si>
  <si>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</si>
  <si>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</si>
  <si>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</si>
  <si>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</si>
  <si>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</si>
  <si>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</si>
  <si>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</si>
  <si>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</si>
  <si>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</si>
  <si>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</si>
  <si>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</si>
  <si>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</si>
  <si>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</si>
  <si>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</si>
  <si>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</si>
  <si>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</si>
  <si>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</si>
  <si>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</si>
  <si>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</si>
  <si>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</si>
  <si>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</si>
  <si>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</si>
  <si>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</si>
  <si>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</si>
  <si>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</si>
  <si>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</si>
  <si>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</si>
  <si>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</si>
  <si>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</si>
  <si>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</si>
  <si>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</si>
  <si>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</si>
  <si>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</si>
  <si>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</si>
  <si>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</si>
  <si>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</si>
  <si>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</si>
  <si>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</si>
  <si>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</si>
  <si>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</si>
  <si>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</si>
  <si>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</si>
  <si>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</si>
  <si>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</si>
  <si>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</si>
  <si>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</si>
  <si>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</si>
  <si>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</si>
  <si>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</si>
  <si>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</si>
  <si>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</si>
  <si>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</si>
  <si>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</si>
  <si>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</si>
  <si>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</si>
  <si>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</si>
  <si>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</si>
  <si>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</si>
  <si>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</si>
  <si>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</si>
  <si>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</si>
  <si>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</si>
  <si>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</si>
  <si>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</si>
  <si>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</si>
  <si>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</si>
  <si>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</si>
  <si>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</si>
  <si>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</si>
  <si>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</si>
  <si>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</si>
  <si>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</si>
  <si>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</si>
  <si>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</si>
  <si>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</si>
  <si>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</si>
  <si>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</si>
  <si>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</si>
  <si>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</si>
  <si>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</si>
  <si>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</si>
  <si>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</si>
  <si>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</si>
  <si>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</si>
  <si>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</si>
  <si>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</si>
  <si>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</si>
  <si>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</si>
  <si>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</si>
  <si>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</si>
  <si>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</si>
  <si>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</si>
  <si>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</si>
  <si>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</si>
  <si>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</si>
  <si>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</si>
  <si>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</si>
  <si>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</si>
  <si>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</si>
  <si>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</si>
  <si>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</si>
  <si>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</si>
  <si>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</si>
  <si>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</si>
  <si>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</si>
  <si>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</si>
  <si>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</si>
  <si>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</si>
  <si>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</si>
  <si>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</si>
  <si>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</si>
  <si>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</si>
  <si>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</si>
  <si>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</si>
  <si>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</si>
  <si>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</si>
  <si>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</si>
  <si>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</si>
  <si>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</si>
  <si>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</si>
  <si>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</si>
  <si>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</si>
  <si>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</si>
  <si>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</si>
  <si>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</si>
  <si>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</si>
  <si>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</si>
  <si>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</si>
  <si>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</si>
  <si>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</si>
  <si>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</si>
  <si>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</si>
  <si>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</si>
  <si>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</si>
  <si>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</si>
  <si>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</si>
  <si>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</si>
  <si>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</si>
  <si>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</si>
  <si>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</si>
  <si>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</si>
  <si>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</si>
  <si>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</si>
  <si>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</si>
  <si>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</si>
  <si>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</si>
  <si>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</si>
  <si>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</si>
  <si>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</si>
  <si>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</si>
  <si>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</si>
  <si>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</si>
  <si>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</si>
  <si>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</si>
  <si>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</si>
  <si>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</si>
  <si>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</si>
  <si>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</si>
  <si>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</si>
  <si>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</si>
  <si>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</si>
  <si>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</si>
  <si>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</si>
  <si>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</si>
  <si>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</si>
  <si>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</si>
  <si>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</si>
  <si>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</si>
  <si>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</si>
  <si>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</si>
  <si>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</si>
  <si>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</si>
  <si>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</si>
  <si>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</si>
  <si>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</si>
  <si>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</si>
  <si>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</si>
  <si>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43014</t>
  </si>
  <si>
    <t>SINT-LAUREINS</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</si>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</sst>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43014</v>
      </c>
      <c r="B6" s="386"/>
      <c r="C6" s="387"/>
    </row>
    <row r="7" spans="1:7" s="384" customFormat="1" ht="15.75" customHeight="1">
      <c r="A7" s="388" t="str">
        <f>txtMunicipality</f>
        <v>SINT-LAUREINS</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6339.3524483559204</v>
      </c>
      <c r="D10" s="676">
        <f ca="1">tertiair!C16</f>
        <v>0</v>
      </c>
      <c r="E10" s="676">
        <f ca="1">tertiair!D16</f>
        <v>11341.989652216957</v>
      </c>
      <c r="F10" s="676">
        <f>tertiair!E16</f>
        <v>139.68384263123983</v>
      </c>
      <c r="G10" s="676">
        <f ca="1">tertiair!F16</f>
        <v>1103.8757303555833</v>
      </c>
      <c r="H10" s="676">
        <f>tertiair!G16</f>
        <v>0</v>
      </c>
      <c r="I10" s="676">
        <f>tertiair!H16</f>
        <v>0</v>
      </c>
      <c r="J10" s="676">
        <f>tertiair!I16</f>
        <v>0</v>
      </c>
      <c r="K10" s="676">
        <f>tertiair!J16</f>
        <v>0</v>
      </c>
      <c r="L10" s="676">
        <f>tertiair!K16</f>
        <v>0</v>
      </c>
      <c r="M10" s="676">
        <f ca="1">tertiair!L16</f>
        <v>0</v>
      </c>
      <c r="N10" s="676">
        <f>tertiair!M16</f>
        <v>0</v>
      </c>
      <c r="O10" s="676">
        <f ca="1">tertiair!N16</f>
        <v>220.19048144863322</v>
      </c>
      <c r="P10" s="676">
        <f>tertiair!O16</f>
        <v>3.1266666666666669</v>
      </c>
      <c r="Q10" s="677">
        <f>tertiair!P16</f>
        <v>38.133333333333333</v>
      </c>
      <c r="R10" s="679">
        <f ca="1">SUM(C10:Q10)</f>
        <v>19186.352155008335</v>
      </c>
      <c r="S10" s="67"/>
    </row>
    <row r="11" spans="1:19" s="445" customFormat="1">
      <c r="A11" s="791" t="s">
        <v>220</v>
      </c>
      <c r="B11" s="796"/>
      <c r="C11" s="676">
        <f>huishoudens!B8</f>
        <v>14047.420641775154</v>
      </c>
      <c r="D11" s="676">
        <f>huishoudens!C8</f>
        <v>0</v>
      </c>
      <c r="E11" s="676">
        <f>huishoudens!D8</f>
        <v>17903.140508269127</v>
      </c>
      <c r="F11" s="676">
        <f>huishoudens!E8</f>
        <v>776.78209666412386</v>
      </c>
      <c r="G11" s="676">
        <f>huishoudens!F8</f>
        <v>26514.987414754003</v>
      </c>
      <c r="H11" s="676">
        <f>huishoudens!G8</f>
        <v>0</v>
      </c>
      <c r="I11" s="676">
        <f>huishoudens!H8</f>
        <v>0</v>
      </c>
      <c r="J11" s="676">
        <f>huishoudens!I8</f>
        <v>0</v>
      </c>
      <c r="K11" s="676">
        <f>huishoudens!J8</f>
        <v>597.05029347251059</v>
      </c>
      <c r="L11" s="676">
        <f>huishoudens!K8</f>
        <v>0</v>
      </c>
      <c r="M11" s="676">
        <f>huishoudens!L8</f>
        <v>0</v>
      </c>
      <c r="N11" s="676">
        <f>huishoudens!M8</f>
        <v>0</v>
      </c>
      <c r="O11" s="676">
        <f>huishoudens!N8</f>
        <v>3475.5529369127335</v>
      </c>
      <c r="P11" s="676">
        <f>huishoudens!O8</f>
        <v>26.576666666666668</v>
      </c>
      <c r="Q11" s="677">
        <f>huishoudens!P8</f>
        <v>152.53333333333333</v>
      </c>
      <c r="R11" s="679">
        <f>SUM(C11:Q11)</f>
        <v>63494.04389184765</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1982.3262035140795</v>
      </c>
      <c r="D13" s="676">
        <f>industrie!C18</f>
        <v>0</v>
      </c>
      <c r="E13" s="676">
        <f>industrie!D18</f>
        <v>527.10774998846864</v>
      </c>
      <c r="F13" s="676">
        <f>industrie!E18</f>
        <v>19.610348360462073</v>
      </c>
      <c r="G13" s="676">
        <f>industrie!F18</f>
        <v>632.99750861807092</v>
      </c>
      <c r="H13" s="676">
        <f>industrie!G18</f>
        <v>0</v>
      </c>
      <c r="I13" s="676">
        <f>industrie!H18</f>
        <v>0</v>
      </c>
      <c r="J13" s="676">
        <f>industrie!I18</f>
        <v>0</v>
      </c>
      <c r="K13" s="676">
        <f>industrie!J18</f>
        <v>7.3898536806789457</v>
      </c>
      <c r="L13" s="676">
        <f>industrie!K18</f>
        <v>0</v>
      </c>
      <c r="M13" s="676">
        <f>industrie!L18</f>
        <v>0</v>
      </c>
      <c r="N13" s="676">
        <f>industrie!M18</f>
        <v>0</v>
      </c>
      <c r="O13" s="676">
        <f>industrie!N18</f>
        <v>60.697641137294085</v>
      </c>
      <c r="P13" s="676">
        <f>industrie!O18</f>
        <v>0</v>
      </c>
      <c r="Q13" s="677">
        <f>industrie!P18</f>
        <v>0</v>
      </c>
      <c r="R13" s="679">
        <f>SUM(C13:Q13)</f>
        <v>3230.1293052990545</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22369.099293645155</v>
      </c>
      <c r="D16" s="709">
        <f t="shared" ref="D16:R16" ca="1" si="0">SUM(D9:D15)</f>
        <v>0</v>
      </c>
      <c r="E16" s="709">
        <f t="shared" ca="1" si="0"/>
        <v>29772.237910474556</v>
      </c>
      <c r="F16" s="709">
        <f t="shared" si="0"/>
        <v>936.07628765582581</v>
      </c>
      <c r="G16" s="709">
        <f t="shared" ca="1" si="0"/>
        <v>28251.860653727657</v>
      </c>
      <c r="H16" s="709">
        <f t="shared" si="0"/>
        <v>0</v>
      </c>
      <c r="I16" s="709">
        <f t="shared" si="0"/>
        <v>0</v>
      </c>
      <c r="J16" s="709">
        <f t="shared" si="0"/>
        <v>0</v>
      </c>
      <c r="K16" s="709">
        <f t="shared" si="0"/>
        <v>604.44014715318951</v>
      </c>
      <c r="L16" s="709">
        <f t="shared" si="0"/>
        <v>0</v>
      </c>
      <c r="M16" s="709">
        <f t="shared" ca="1" si="0"/>
        <v>0</v>
      </c>
      <c r="N16" s="709">
        <f t="shared" si="0"/>
        <v>0</v>
      </c>
      <c r="O16" s="709">
        <f t="shared" ca="1" si="0"/>
        <v>3756.4410594986607</v>
      </c>
      <c r="P16" s="709">
        <f t="shared" si="0"/>
        <v>29.703333333333333</v>
      </c>
      <c r="Q16" s="709">
        <f t="shared" si="0"/>
        <v>190.66666666666666</v>
      </c>
      <c r="R16" s="709">
        <f t="shared" ca="1" si="0"/>
        <v>85910.525352155033</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1.092899566550307</v>
      </c>
      <c r="D19" s="676">
        <f>transport!C54</f>
        <v>0</v>
      </c>
      <c r="E19" s="676">
        <f>transport!D54</f>
        <v>0</v>
      </c>
      <c r="F19" s="676">
        <f>transport!E54</f>
        <v>0</v>
      </c>
      <c r="G19" s="676">
        <f>transport!F54</f>
        <v>0</v>
      </c>
      <c r="H19" s="676">
        <f>transport!G54</f>
        <v>237.09358840624552</v>
      </c>
      <c r="I19" s="676">
        <f>transport!H54</f>
        <v>0</v>
      </c>
      <c r="J19" s="676">
        <f>transport!I54</f>
        <v>0</v>
      </c>
      <c r="K19" s="676">
        <f>transport!J54</f>
        <v>0</v>
      </c>
      <c r="L19" s="676">
        <f>transport!K54</f>
        <v>0</v>
      </c>
      <c r="M19" s="676">
        <f>transport!L54</f>
        <v>0</v>
      </c>
      <c r="N19" s="676">
        <f>transport!M54</f>
        <v>10.151436720039488</v>
      </c>
      <c r="O19" s="676">
        <f>transport!N54</f>
        <v>0</v>
      </c>
      <c r="P19" s="676">
        <f>transport!O54</f>
        <v>0</v>
      </c>
      <c r="Q19" s="677">
        <f>transport!P54</f>
        <v>0</v>
      </c>
      <c r="R19" s="679">
        <f>SUM(C19:Q19)</f>
        <v>248.33792469283532</v>
      </c>
      <c r="S19" s="67"/>
    </row>
    <row r="20" spans="1:19" s="445" customFormat="1">
      <c r="A20" s="791" t="s">
        <v>302</v>
      </c>
      <c r="B20" s="796"/>
      <c r="C20" s="676">
        <f>transport!B14</f>
        <v>0.40921758610530201</v>
      </c>
      <c r="D20" s="676">
        <f>transport!C14</f>
        <v>0</v>
      </c>
      <c r="E20" s="676">
        <f>transport!D14</f>
        <v>1.6299891561015678</v>
      </c>
      <c r="F20" s="676">
        <f>transport!E14</f>
        <v>163.97354806778782</v>
      </c>
      <c r="G20" s="676">
        <f>transport!F14</f>
        <v>0</v>
      </c>
      <c r="H20" s="676">
        <f>transport!G14</f>
        <v>33703.417497728864</v>
      </c>
      <c r="I20" s="676">
        <f>transport!H14</f>
        <v>5246.2371434118268</v>
      </c>
      <c r="J20" s="676">
        <f>transport!I14</f>
        <v>0</v>
      </c>
      <c r="K20" s="676">
        <f>transport!J14</f>
        <v>0</v>
      </c>
      <c r="L20" s="676">
        <f>transport!K14</f>
        <v>0</v>
      </c>
      <c r="M20" s="676">
        <f>transport!L14</f>
        <v>0</v>
      </c>
      <c r="N20" s="676">
        <f>transport!M14</f>
        <v>1693.3738554524041</v>
      </c>
      <c r="O20" s="676">
        <f>transport!N14</f>
        <v>0</v>
      </c>
      <c r="P20" s="676">
        <f>transport!O14</f>
        <v>0</v>
      </c>
      <c r="Q20" s="677">
        <f>transport!P14</f>
        <v>0</v>
      </c>
      <c r="R20" s="679">
        <f>SUM(C20:Q20)</f>
        <v>40809.041251403083</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1.502117152655609</v>
      </c>
      <c r="D22" s="794">
        <f t="shared" ref="D22:R22" si="1">SUM(D18:D21)</f>
        <v>0</v>
      </c>
      <c r="E22" s="794">
        <f t="shared" si="1"/>
        <v>1.6299891561015678</v>
      </c>
      <c r="F22" s="794">
        <f t="shared" si="1"/>
        <v>163.97354806778782</v>
      </c>
      <c r="G22" s="794">
        <f t="shared" si="1"/>
        <v>0</v>
      </c>
      <c r="H22" s="794">
        <f t="shared" si="1"/>
        <v>33940.511086135106</v>
      </c>
      <c r="I22" s="794">
        <f t="shared" si="1"/>
        <v>5246.2371434118268</v>
      </c>
      <c r="J22" s="794">
        <f t="shared" si="1"/>
        <v>0</v>
      </c>
      <c r="K22" s="794">
        <f t="shared" si="1"/>
        <v>0</v>
      </c>
      <c r="L22" s="794">
        <f t="shared" si="1"/>
        <v>0</v>
      </c>
      <c r="M22" s="794">
        <f t="shared" si="1"/>
        <v>0</v>
      </c>
      <c r="N22" s="794">
        <f t="shared" si="1"/>
        <v>1703.5252921724436</v>
      </c>
      <c r="O22" s="794">
        <f t="shared" si="1"/>
        <v>0</v>
      </c>
      <c r="P22" s="794">
        <f t="shared" si="1"/>
        <v>0</v>
      </c>
      <c r="Q22" s="794">
        <f t="shared" si="1"/>
        <v>0</v>
      </c>
      <c r="R22" s="794">
        <f t="shared" si="1"/>
        <v>41057.379176095921</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4639.3002786991801</v>
      </c>
      <c r="D24" s="676">
        <f>+landbouw!C8</f>
        <v>0</v>
      </c>
      <c r="E24" s="676">
        <f>+landbouw!D8</f>
        <v>373.70910262170975</v>
      </c>
      <c r="F24" s="676">
        <f>+landbouw!E8</f>
        <v>48.583756886090285</v>
      </c>
      <c r="G24" s="676">
        <f>+landbouw!F8</f>
        <v>19859.730312381867</v>
      </c>
      <c r="H24" s="676">
        <f>+landbouw!G8</f>
        <v>0</v>
      </c>
      <c r="I24" s="676">
        <f>+landbouw!H8</f>
        <v>0</v>
      </c>
      <c r="J24" s="676">
        <f>+landbouw!I8</f>
        <v>0</v>
      </c>
      <c r="K24" s="676">
        <f>+landbouw!J8</f>
        <v>414.33109764562249</v>
      </c>
      <c r="L24" s="676">
        <f>+landbouw!K8</f>
        <v>0</v>
      </c>
      <c r="M24" s="676">
        <f>+landbouw!L8</f>
        <v>0</v>
      </c>
      <c r="N24" s="676">
        <f>+landbouw!M8</f>
        <v>0</v>
      </c>
      <c r="O24" s="676">
        <f>+landbouw!N8</f>
        <v>0</v>
      </c>
      <c r="P24" s="676">
        <f>+landbouw!O8</f>
        <v>0</v>
      </c>
      <c r="Q24" s="677">
        <f>+landbouw!P8</f>
        <v>0</v>
      </c>
      <c r="R24" s="679">
        <f>SUM(C24:Q24)</f>
        <v>25335.65454823447</v>
      </c>
      <c r="S24" s="67"/>
    </row>
    <row r="25" spans="1:19" s="445" customFormat="1" ht="15" thickBot="1">
      <c r="A25" s="813" t="s">
        <v>895</v>
      </c>
      <c r="B25" s="968"/>
      <c r="C25" s="969">
        <f>IF(Onbekend_ele_kWh="---",0,Onbekend_ele_kWh)/1000+IF(REST_rest_ele_kWh="---",0,REST_rest_ele_kWh)/1000</f>
        <v>705.50623527098799</v>
      </c>
      <c r="D25" s="969"/>
      <c r="E25" s="969">
        <f>IF(onbekend_gas_kWh="---",0,onbekend_gas_kWh)/1000+IF(REST_rest_gas_kWh="---",0,REST_rest_gas_kWh)/1000</f>
        <v>702.38356541159601</v>
      </c>
      <c r="F25" s="969"/>
      <c r="G25" s="969"/>
      <c r="H25" s="969"/>
      <c r="I25" s="969"/>
      <c r="J25" s="969"/>
      <c r="K25" s="969"/>
      <c r="L25" s="969"/>
      <c r="M25" s="969"/>
      <c r="N25" s="969"/>
      <c r="O25" s="969"/>
      <c r="P25" s="969"/>
      <c r="Q25" s="970"/>
      <c r="R25" s="679">
        <f>SUM(C25:Q25)</f>
        <v>1407.8898006825839</v>
      </c>
      <c r="S25" s="67"/>
    </row>
    <row r="26" spans="1:19" s="445" customFormat="1" ht="15.75" thickBot="1">
      <c r="A26" s="682" t="s">
        <v>896</v>
      </c>
      <c r="B26" s="799"/>
      <c r="C26" s="794">
        <f>SUM(C24:C25)</f>
        <v>5344.8065139701685</v>
      </c>
      <c r="D26" s="794">
        <f t="shared" ref="D26:R26" si="2">SUM(D24:D25)</f>
        <v>0</v>
      </c>
      <c r="E26" s="794">
        <f t="shared" si="2"/>
        <v>1076.0926680333057</v>
      </c>
      <c r="F26" s="794">
        <f t="shared" si="2"/>
        <v>48.583756886090285</v>
      </c>
      <c r="G26" s="794">
        <f t="shared" si="2"/>
        <v>19859.730312381867</v>
      </c>
      <c r="H26" s="794">
        <f t="shared" si="2"/>
        <v>0</v>
      </c>
      <c r="I26" s="794">
        <f t="shared" si="2"/>
        <v>0</v>
      </c>
      <c r="J26" s="794">
        <f t="shared" si="2"/>
        <v>0</v>
      </c>
      <c r="K26" s="794">
        <f t="shared" si="2"/>
        <v>414.33109764562249</v>
      </c>
      <c r="L26" s="794">
        <f t="shared" si="2"/>
        <v>0</v>
      </c>
      <c r="M26" s="794">
        <f t="shared" si="2"/>
        <v>0</v>
      </c>
      <c r="N26" s="794">
        <f t="shared" si="2"/>
        <v>0</v>
      </c>
      <c r="O26" s="794">
        <f t="shared" si="2"/>
        <v>0</v>
      </c>
      <c r="P26" s="794">
        <f t="shared" si="2"/>
        <v>0</v>
      </c>
      <c r="Q26" s="794">
        <f t="shared" si="2"/>
        <v>0</v>
      </c>
      <c r="R26" s="794">
        <f t="shared" si="2"/>
        <v>26743.544348917054</v>
      </c>
      <c r="S26" s="67"/>
    </row>
    <row r="27" spans="1:19" s="445" customFormat="1" ht="17.25" thickTop="1" thickBot="1">
      <c r="A27" s="683" t="s">
        <v>115</v>
      </c>
      <c r="B27" s="786"/>
      <c r="C27" s="684">
        <f ca="1">C22+C16+C26</f>
        <v>27715.40792476798</v>
      </c>
      <c r="D27" s="684">
        <f t="shared" ref="D27:R27" ca="1" si="3">D22+D16+D26</f>
        <v>0</v>
      </c>
      <c r="E27" s="684">
        <f t="shared" ca="1" si="3"/>
        <v>30849.960567663966</v>
      </c>
      <c r="F27" s="684">
        <f t="shared" si="3"/>
        <v>1148.6335926097038</v>
      </c>
      <c r="G27" s="684">
        <f t="shared" ca="1" si="3"/>
        <v>48111.590966109521</v>
      </c>
      <c r="H27" s="684">
        <f t="shared" si="3"/>
        <v>33940.511086135106</v>
      </c>
      <c r="I27" s="684">
        <f t="shared" si="3"/>
        <v>5246.2371434118268</v>
      </c>
      <c r="J27" s="684">
        <f t="shared" si="3"/>
        <v>0</v>
      </c>
      <c r="K27" s="684">
        <f t="shared" si="3"/>
        <v>1018.7712447988119</v>
      </c>
      <c r="L27" s="684">
        <f t="shared" si="3"/>
        <v>0</v>
      </c>
      <c r="M27" s="684">
        <f t="shared" ca="1" si="3"/>
        <v>0</v>
      </c>
      <c r="N27" s="684">
        <f t="shared" si="3"/>
        <v>1703.5252921724436</v>
      </c>
      <c r="O27" s="684">
        <f t="shared" ca="1" si="3"/>
        <v>3756.4410594986607</v>
      </c>
      <c r="P27" s="684">
        <f t="shared" si="3"/>
        <v>29.703333333333333</v>
      </c>
      <c r="Q27" s="684">
        <f t="shared" si="3"/>
        <v>190.66666666666666</v>
      </c>
      <c r="R27" s="684">
        <f t="shared" ca="1" si="3"/>
        <v>153711.448877168</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1346.1331680555575</v>
      </c>
      <c r="D40" s="676">
        <f ca="1">tertiair!C20</f>
        <v>0</v>
      </c>
      <c r="E40" s="676">
        <f ca="1">tertiair!D20</f>
        <v>2291.0819097478252</v>
      </c>
      <c r="F40" s="676">
        <f>tertiair!E20</f>
        <v>31.70823227729144</v>
      </c>
      <c r="G40" s="676">
        <f ca="1">tertiair!F20</f>
        <v>294.73482000494073</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3963.6581300856151</v>
      </c>
    </row>
    <row r="41" spans="1:18">
      <c r="A41" s="804" t="s">
        <v>220</v>
      </c>
      <c r="B41" s="811"/>
      <c r="C41" s="676">
        <f ca="1">huishoudens!B12</f>
        <v>2982.9070091261378</v>
      </c>
      <c r="D41" s="676">
        <f ca="1">huishoudens!C12</f>
        <v>0</v>
      </c>
      <c r="E41" s="676">
        <f>huishoudens!D12</f>
        <v>3616.4343826703639</v>
      </c>
      <c r="F41" s="676">
        <f>huishoudens!E12</f>
        <v>176.32953594275611</v>
      </c>
      <c r="G41" s="676">
        <f>huishoudens!F12</f>
        <v>7079.5016397393192</v>
      </c>
      <c r="H41" s="676">
        <f>huishoudens!G12</f>
        <v>0</v>
      </c>
      <c r="I41" s="676">
        <f>huishoudens!H12</f>
        <v>0</v>
      </c>
      <c r="J41" s="676">
        <f>huishoudens!I12</f>
        <v>0</v>
      </c>
      <c r="K41" s="676">
        <f>huishoudens!J12</f>
        <v>211.35580388926874</v>
      </c>
      <c r="L41" s="676">
        <f>huishoudens!K12</f>
        <v>0</v>
      </c>
      <c r="M41" s="676">
        <f>huishoudens!L12</f>
        <v>0</v>
      </c>
      <c r="N41" s="676">
        <f>huishoudens!M12</f>
        <v>0</v>
      </c>
      <c r="O41" s="676">
        <f>huishoudens!N12</f>
        <v>0</v>
      </c>
      <c r="P41" s="676">
        <f>huishoudens!O12</f>
        <v>0</v>
      </c>
      <c r="Q41" s="751">
        <f>huishoudens!P12</f>
        <v>0</v>
      </c>
      <c r="R41" s="832">
        <f t="shared" ca="1" si="4"/>
        <v>14066.528371367845</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420.93811224331108</v>
      </c>
      <c r="D43" s="676">
        <f ca="1">industrie!C22</f>
        <v>0</v>
      </c>
      <c r="E43" s="676">
        <f>industrie!D22</f>
        <v>106.47576549767068</v>
      </c>
      <c r="F43" s="676">
        <f>industrie!E22</f>
        <v>4.4515490778248905</v>
      </c>
      <c r="G43" s="676">
        <f>industrie!F22</f>
        <v>169.01033480102495</v>
      </c>
      <c r="H43" s="676">
        <f>industrie!G22</f>
        <v>0</v>
      </c>
      <c r="I43" s="676">
        <f>industrie!H22</f>
        <v>0</v>
      </c>
      <c r="J43" s="676">
        <f>industrie!I22</f>
        <v>0</v>
      </c>
      <c r="K43" s="676">
        <f>industrie!J22</f>
        <v>2.6160082029603466</v>
      </c>
      <c r="L43" s="676">
        <f>industrie!K22</f>
        <v>0</v>
      </c>
      <c r="M43" s="676">
        <f>industrie!L22</f>
        <v>0</v>
      </c>
      <c r="N43" s="676">
        <f>industrie!M22</f>
        <v>0</v>
      </c>
      <c r="O43" s="676">
        <f>industrie!N22</f>
        <v>0</v>
      </c>
      <c r="P43" s="676">
        <f>industrie!O22</f>
        <v>0</v>
      </c>
      <c r="Q43" s="751">
        <f>industrie!P22</f>
        <v>0</v>
      </c>
      <c r="R43" s="831">
        <f t="shared" ca="1" si="4"/>
        <v>703.49176982279187</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4749.9782894250066</v>
      </c>
      <c r="D46" s="709">
        <f t="shared" ref="D46:Q46" ca="1" si="5">SUM(D39:D45)</f>
        <v>0</v>
      </c>
      <c r="E46" s="709">
        <f t="shared" ca="1" si="5"/>
        <v>6013.9920579158606</v>
      </c>
      <c r="F46" s="709">
        <f t="shared" si="5"/>
        <v>212.48931729787245</v>
      </c>
      <c r="G46" s="709">
        <f t="shared" ca="1" si="5"/>
        <v>7543.2467945452854</v>
      </c>
      <c r="H46" s="709">
        <f t="shared" si="5"/>
        <v>0</v>
      </c>
      <c r="I46" s="709">
        <f t="shared" si="5"/>
        <v>0</v>
      </c>
      <c r="J46" s="709">
        <f t="shared" si="5"/>
        <v>0</v>
      </c>
      <c r="K46" s="709">
        <f t="shared" si="5"/>
        <v>213.9718120922291</v>
      </c>
      <c r="L46" s="709">
        <f t="shared" si="5"/>
        <v>0</v>
      </c>
      <c r="M46" s="709">
        <f t="shared" ca="1" si="5"/>
        <v>0</v>
      </c>
      <c r="N46" s="709">
        <f t="shared" si="5"/>
        <v>0</v>
      </c>
      <c r="O46" s="709">
        <f t="shared" ca="1" si="5"/>
        <v>0</v>
      </c>
      <c r="P46" s="709">
        <f t="shared" si="5"/>
        <v>0</v>
      </c>
      <c r="Q46" s="709">
        <f t="shared" si="5"/>
        <v>0</v>
      </c>
      <c r="R46" s="709">
        <f ca="1">SUM(R39:R45)</f>
        <v>18733.678271276251</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0.2320723398599577</v>
      </c>
      <c r="D49" s="676">
        <f ca="1">transport!C58</f>
        <v>0</v>
      </c>
      <c r="E49" s="676">
        <f>transport!D58</f>
        <v>0</v>
      </c>
      <c r="F49" s="676">
        <f>transport!E58</f>
        <v>0</v>
      </c>
      <c r="G49" s="676">
        <f>transport!F58</f>
        <v>0</v>
      </c>
      <c r="H49" s="676">
        <f>transport!G58</f>
        <v>63.303988104467557</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63.536060444327518</v>
      </c>
    </row>
    <row r="50" spans="1:18">
      <c r="A50" s="807" t="s">
        <v>302</v>
      </c>
      <c r="B50" s="817"/>
      <c r="C50" s="975">
        <f ca="1">transport!B18</f>
        <v>8.6895526017147257E-2</v>
      </c>
      <c r="D50" s="975">
        <f>transport!C18</f>
        <v>0</v>
      </c>
      <c r="E50" s="975">
        <f>transport!D18</f>
        <v>0.32925780953251671</v>
      </c>
      <c r="F50" s="975">
        <f>transport!E18</f>
        <v>37.221995411387837</v>
      </c>
      <c r="G50" s="975">
        <f>transport!F18</f>
        <v>0</v>
      </c>
      <c r="H50" s="975">
        <f>transport!G18</f>
        <v>8998.8124718936069</v>
      </c>
      <c r="I50" s="975">
        <f>transport!H18</f>
        <v>1306.3130487095448</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10342.763669350088</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0.31896786587710496</v>
      </c>
      <c r="D52" s="709">
        <f t="shared" ref="D52:Q52" ca="1" si="6">SUM(D48:D51)</f>
        <v>0</v>
      </c>
      <c r="E52" s="709">
        <f t="shared" si="6"/>
        <v>0.32925780953251671</v>
      </c>
      <c r="F52" s="709">
        <f t="shared" si="6"/>
        <v>37.221995411387837</v>
      </c>
      <c r="G52" s="709">
        <f t="shared" si="6"/>
        <v>0</v>
      </c>
      <c r="H52" s="709">
        <f t="shared" si="6"/>
        <v>9062.1164599980748</v>
      </c>
      <c r="I52" s="709">
        <f t="shared" si="6"/>
        <v>1306.3130487095448</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10406.299729794415</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985.13468569585484</v>
      </c>
      <c r="D54" s="975">
        <f ca="1">+landbouw!C12</f>
        <v>0</v>
      </c>
      <c r="E54" s="975">
        <f>+landbouw!D12</f>
        <v>75.489238729585367</v>
      </c>
      <c r="F54" s="975">
        <f>+landbouw!E12</f>
        <v>11.028512813142495</v>
      </c>
      <c r="G54" s="975">
        <f>+landbouw!F12</f>
        <v>5302.5479934059586</v>
      </c>
      <c r="H54" s="975">
        <f>+landbouw!G12</f>
        <v>0</v>
      </c>
      <c r="I54" s="975">
        <f>+landbouw!H12</f>
        <v>0</v>
      </c>
      <c r="J54" s="975">
        <f>+landbouw!I12</f>
        <v>0</v>
      </c>
      <c r="K54" s="975">
        <f>+landbouw!J12</f>
        <v>146.67320856655036</v>
      </c>
      <c r="L54" s="975">
        <f>+landbouw!K12</f>
        <v>0</v>
      </c>
      <c r="M54" s="975">
        <f>+landbouw!L12</f>
        <v>0</v>
      </c>
      <c r="N54" s="975">
        <f>+landbouw!M12</f>
        <v>0</v>
      </c>
      <c r="O54" s="975">
        <f>+landbouw!N12</f>
        <v>0</v>
      </c>
      <c r="P54" s="975">
        <f>+landbouw!O12</f>
        <v>0</v>
      </c>
      <c r="Q54" s="976">
        <f>+landbouw!P12</f>
        <v>0</v>
      </c>
      <c r="R54" s="708">
        <f ca="1">SUM(C54:Q54)</f>
        <v>6520.8736392110923</v>
      </c>
    </row>
    <row r="55" spans="1:18" ht="15" thickBot="1">
      <c r="A55" s="807" t="s">
        <v>895</v>
      </c>
      <c r="B55" s="817"/>
      <c r="C55" s="975">
        <f ca="1">C25*'EF ele_warmte'!B12</f>
        <v>149.81109684390333</v>
      </c>
      <c r="D55" s="975"/>
      <c r="E55" s="975">
        <f>E25*EF_CO2_aardgas</f>
        <v>141.8814802131424</v>
      </c>
      <c r="F55" s="975"/>
      <c r="G55" s="975"/>
      <c r="H55" s="975"/>
      <c r="I55" s="975"/>
      <c r="J55" s="975"/>
      <c r="K55" s="975"/>
      <c r="L55" s="975"/>
      <c r="M55" s="975"/>
      <c r="N55" s="975"/>
      <c r="O55" s="975"/>
      <c r="P55" s="975"/>
      <c r="Q55" s="976"/>
      <c r="R55" s="708">
        <f ca="1">SUM(C55:Q55)</f>
        <v>291.6925770570457</v>
      </c>
    </row>
    <row r="56" spans="1:18" ht="15.75" thickBot="1">
      <c r="A56" s="805" t="s">
        <v>896</v>
      </c>
      <c r="B56" s="818"/>
      <c r="C56" s="709">
        <f ca="1">SUM(C54:C55)</f>
        <v>1134.9457825397581</v>
      </c>
      <c r="D56" s="709">
        <f t="shared" ref="D56:Q56" ca="1" si="7">SUM(D54:D55)</f>
        <v>0</v>
      </c>
      <c r="E56" s="709">
        <f t="shared" si="7"/>
        <v>217.37071894272776</v>
      </c>
      <c r="F56" s="709">
        <f t="shared" si="7"/>
        <v>11.028512813142495</v>
      </c>
      <c r="G56" s="709">
        <f t="shared" si="7"/>
        <v>5302.5479934059586</v>
      </c>
      <c r="H56" s="709">
        <f t="shared" si="7"/>
        <v>0</v>
      </c>
      <c r="I56" s="709">
        <f t="shared" si="7"/>
        <v>0</v>
      </c>
      <c r="J56" s="709">
        <f t="shared" si="7"/>
        <v>0</v>
      </c>
      <c r="K56" s="709">
        <f t="shared" si="7"/>
        <v>146.67320856655036</v>
      </c>
      <c r="L56" s="709">
        <f t="shared" si="7"/>
        <v>0</v>
      </c>
      <c r="M56" s="709">
        <f t="shared" si="7"/>
        <v>0</v>
      </c>
      <c r="N56" s="709">
        <f t="shared" si="7"/>
        <v>0</v>
      </c>
      <c r="O56" s="709">
        <f t="shared" si="7"/>
        <v>0</v>
      </c>
      <c r="P56" s="709">
        <f t="shared" si="7"/>
        <v>0</v>
      </c>
      <c r="Q56" s="710">
        <f t="shared" si="7"/>
        <v>0</v>
      </c>
      <c r="R56" s="711">
        <f ca="1">SUM(R54:R55)</f>
        <v>6812.5662162681383</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5885.2430398306424</v>
      </c>
      <c r="D61" s="717">
        <f t="shared" ref="D61:Q61" ca="1" si="8">D46+D52+D56</f>
        <v>0</v>
      </c>
      <c r="E61" s="717">
        <f t="shared" ca="1" si="8"/>
        <v>6231.6920346681209</v>
      </c>
      <c r="F61" s="717">
        <f t="shared" si="8"/>
        <v>260.73982552240278</v>
      </c>
      <c r="G61" s="717">
        <f t="shared" ca="1" si="8"/>
        <v>12845.794787951243</v>
      </c>
      <c r="H61" s="717">
        <f t="shared" si="8"/>
        <v>9062.1164599980748</v>
      </c>
      <c r="I61" s="717">
        <f t="shared" si="8"/>
        <v>1306.3130487095448</v>
      </c>
      <c r="J61" s="717">
        <f t="shared" si="8"/>
        <v>0</v>
      </c>
      <c r="K61" s="717">
        <f t="shared" si="8"/>
        <v>360.64502065877946</v>
      </c>
      <c r="L61" s="717">
        <f t="shared" si="8"/>
        <v>0</v>
      </c>
      <c r="M61" s="717">
        <f t="shared" ca="1" si="8"/>
        <v>0</v>
      </c>
      <c r="N61" s="717">
        <f t="shared" si="8"/>
        <v>0</v>
      </c>
      <c r="O61" s="717">
        <f t="shared" ca="1" si="8"/>
        <v>0</v>
      </c>
      <c r="P61" s="717">
        <f t="shared" si="8"/>
        <v>0</v>
      </c>
      <c r="Q61" s="717">
        <f t="shared" si="8"/>
        <v>0</v>
      </c>
      <c r="R61" s="717">
        <f ca="1">R46+R52+R56</f>
        <v>35952.544217338807</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0.21234553198011105</v>
      </c>
      <c r="D63" s="761">
        <f t="shared" ca="1" si="9"/>
        <v>0</v>
      </c>
      <c r="E63" s="977">
        <f t="shared" ca="1" si="9"/>
        <v>0.20199999999999999</v>
      </c>
      <c r="F63" s="761">
        <f t="shared" si="9"/>
        <v>0.22700000000000001</v>
      </c>
      <c r="G63" s="761">
        <f t="shared" ca="1" si="9"/>
        <v>0.26700000000000002</v>
      </c>
      <c r="H63" s="761">
        <f t="shared" si="9"/>
        <v>0.26700000000000007</v>
      </c>
      <c r="I63" s="761">
        <f t="shared" si="9"/>
        <v>0.24899999999999997</v>
      </c>
      <c r="J63" s="761">
        <f t="shared" si="9"/>
        <v>0</v>
      </c>
      <c r="K63" s="761">
        <f t="shared" si="9"/>
        <v>0.35400000000000004</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1085.3489210094162</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1085.3489210094162</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14047.420641775154</v>
      </c>
      <c r="C4" s="449">
        <f>huishoudens!C8</f>
        <v>0</v>
      </c>
      <c r="D4" s="449">
        <f>huishoudens!D8</f>
        <v>17903.140508269127</v>
      </c>
      <c r="E4" s="449">
        <f>huishoudens!E8</f>
        <v>776.78209666412386</v>
      </c>
      <c r="F4" s="449">
        <f>huishoudens!F8</f>
        <v>26514.987414754003</v>
      </c>
      <c r="G4" s="449">
        <f>huishoudens!G8</f>
        <v>0</v>
      </c>
      <c r="H4" s="449">
        <f>huishoudens!H8</f>
        <v>0</v>
      </c>
      <c r="I4" s="449">
        <f>huishoudens!I8</f>
        <v>0</v>
      </c>
      <c r="J4" s="449">
        <f>huishoudens!J8</f>
        <v>597.05029347251059</v>
      </c>
      <c r="K4" s="449">
        <f>huishoudens!K8</f>
        <v>0</v>
      </c>
      <c r="L4" s="449">
        <f>huishoudens!L8</f>
        <v>0</v>
      </c>
      <c r="M4" s="449">
        <f>huishoudens!M8</f>
        <v>0</v>
      </c>
      <c r="N4" s="449">
        <f>huishoudens!N8</f>
        <v>3475.5529369127335</v>
      </c>
      <c r="O4" s="449">
        <f>huishoudens!O8</f>
        <v>26.576666666666668</v>
      </c>
      <c r="P4" s="450">
        <f>huishoudens!P8</f>
        <v>152.53333333333333</v>
      </c>
      <c r="Q4" s="451">
        <f>SUM(B4:P4)</f>
        <v>63494.04389184765</v>
      </c>
    </row>
    <row r="5" spans="1:17">
      <c r="A5" s="448" t="s">
        <v>155</v>
      </c>
      <c r="B5" s="449">
        <f ca="1">tertiair!B16</f>
        <v>5711.8764483559207</v>
      </c>
      <c r="C5" s="449">
        <f ca="1">tertiair!C16</f>
        <v>0</v>
      </c>
      <c r="D5" s="449">
        <f ca="1">tertiair!D16</f>
        <v>11341.989652216957</v>
      </c>
      <c r="E5" s="449">
        <f>tertiair!E16</f>
        <v>139.68384263123983</v>
      </c>
      <c r="F5" s="449">
        <f ca="1">tertiair!F16</f>
        <v>1103.8757303555833</v>
      </c>
      <c r="G5" s="449">
        <f>tertiair!G16</f>
        <v>0</v>
      </c>
      <c r="H5" s="449">
        <f>tertiair!H16</f>
        <v>0</v>
      </c>
      <c r="I5" s="449">
        <f>tertiair!I16</f>
        <v>0</v>
      </c>
      <c r="J5" s="449">
        <f>tertiair!J16</f>
        <v>0</v>
      </c>
      <c r="K5" s="449">
        <f>tertiair!K16</f>
        <v>0</v>
      </c>
      <c r="L5" s="449">
        <f ca="1">tertiair!L16</f>
        <v>0</v>
      </c>
      <c r="M5" s="449">
        <f>tertiair!M16</f>
        <v>0</v>
      </c>
      <c r="N5" s="449">
        <f ca="1">tertiair!N16</f>
        <v>220.19048144863322</v>
      </c>
      <c r="O5" s="449">
        <f>tertiair!O16</f>
        <v>3.1266666666666669</v>
      </c>
      <c r="P5" s="450">
        <f>tertiair!P16</f>
        <v>38.133333333333333</v>
      </c>
      <c r="Q5" s="448">
        <f t="shared" ref="Q5:Q14" ca="1" si="0">SUM(B5:P5)</f>
        <v>18558.876155008336</v>
      </c>
    </row>
    <row r="6" spans="1:17">
      <c r="A6" s="448" t="s">
        <v>193</v>
      </c>
      <c r="B6" s="449">
        <f>'openbare verlichting'!B8</f>
        <v>627.476</v>
      </c>
      <c r="C6" s="449"/>
      <c r="D6" s="449"/>
      <c r="E6" s="449"/>
      <c r="F6" s="449"/>
      <c r="G6" s="449"/>
      <c r="H6" s="449"/>
      <c r="I6" s="449"/>
      <c r="J6" s="449"/>
      <c r="K6" s="449"/>
      <c r="L6" s="449"/>
      <c r="M6" s="449"/>
      <c r="N6" s="449"/>
      <c r="O6" s="449"/>
      <c r="P6" s="450"/>
      <c r="Q6" s="448">
        <f t="shared" si="0"/>
        <v>627.476</v>
      </c>
    </row>
    <row r="7" spans="1:17">
      <c r="A7" s="448" t="s">
        <v>111</v>
      </c>
      <c r="B7" s="449">
        <f>landbouw!B8</f>
        <v>4639.3002786991801</v>
      </c>
      <c r="C7" s="449">
        <f>landbouw!C8</f>
        <v>0</v>
      </c>
      <c r="D7" s="449">
        <f>landbouw!D8</f>
        <v>373.70910262170975</v>
      </c>
      <c r="E7" s="449">
        <f>landbouw!E8</f>
        <v>48.583756886090285</v>
      </c>
      <c r="F7" s="449">
        <f>landbouw!F8</f>
        <v>19859.730312381867</v>
      </c>
      <c r="G7" s="449">
        <f>landbouw!G8</f>
        <v>0</v>
      </c>
      <c r="H7" s="449">
        <f>landbouw!H8</f>
        <v>0</v>
      </c>
      <c r="I7" s="449">
        <f>landbouw!I8</f>
        <v>0</v>
      </c>
      <c r="J7" s="449">
        <f>landbouw!J8</f>
        <v>414.33109764562249</v>
      </c>
      <c r="K7" s="449">
        <f>landbouw!K8</f>
        <v>0</v>
      </c>
      <c r="L7" s="449">
        <f>landbouw!L8</f>
        <v>0</v>
      </c>
      <c r="M7" s="449">
        <f>landbouw!M8</f>
        <v>0</v>
      </c>
      <c r="N7" s="449">
        <f>landbouw!N8</f>
        <v>0</v>
      </c>
      <c r="O7" s="449">
        <f>landbouw!O8</f>
        <v>0</v>
      </c>
      <c r="P7" s="450">
        <f>landbouw!P8</f>
        <v>0</v>
      </c>
      <c r="Q7" s="448">
        <f t="shared" si="0"/>
        <v>25335.65454823447</v>
      </c>
    </row>
    <row r="8" spans="1:17">
      <c r="A8" s="448" t="s">
        <v>643</v>
      </c>
      <c r="B8" s="449">
        <f>industrie!B18</f>
        <v>1982.3262035140795</v>
      </c>
      <c r="C8" s="449">
        <f>industrie!C18</f>
        <v>0</v>
      </c>
      <c r="D8" s="449">
        <f>industrie!D18</f>
        <v>527.10774998846864</v>
      </c>
      <c r="E8" s="449">
        <f>industrie!E18</f>
        <v>19.610348360462073</v>
      </c>
      <c r="F8" s="449">
        <f>industrie!F18</f>
        <v>632.99750861807092</v>
      </c>
      <c r="G8" s="449">
        <f>industrie!G18</f>
        <v>0</v>
      </c>
      <c r="H8" s="449">
        <f>industrie!H18</f>
        <v>0</v>
      </c>
      <c r="I8" s="449">
        <f>industrie!I18</f>
        <v>0</v>
      </c>
      <c r="J8" s="449">
        <f>industrie!J18</f>
        <v>7.3898536806789457</v>
      </c>
      <c r="K8" s="449">
        <f>industrie!K18</f>
        <v>0</v>
      </c>
      <c r="L8" s="449">
        <f>industrie!L18</f>
        <v>0</v>
      </c>
      <c r="M8" s="449">
        <f>industrie!M18</f>
        <v>0</v>
      </c>
      <c r="N8" s="449">
        <f>industrie!N18</f>
        <v>60.697641137294085</v>
      </c>
      <c r="O8" s="449">
        <f>industrie!O18</f>
        <v>0</v>
      </c>
      <c r="P8" s="450">
        <f>industrie!P18</f>
        <v>0</v>
      </c>
      <c r="Q8" s="448">
        <f t="shared" si="0"/>
        <v>3230.1293052990545</v>
      </c>
    </row>
    <row r="9" spans="1:17" s="454" customFormat="1">
      <c r="A9" s="452" t="s">
        <v>562</v>
      </c>
      <c r="B9" s="453">
        <f>transport!B14</f>
        <v>0.40921758610530201</v>
      </c>
      <c r="C9" s="453">
        <f>transport!C14</f>
        <v>0</v>
      </c>
      <c r="D9" s="453">
        <f>transport!D14</f>
        <v>1.6299891561015678</v>
      </c>
      <c r="E9" s="453">
        <f>transport!E14</f>
        <v>163.97354806778782</v>
      </c>
      <c r="F9" s="453">
        <f>transport!F14</f>
        <v>0</v>
      </c>
      <c r="G9" s="453">
        <f>transport!G14</f>
        <v>33703.417497728864</v>
      </c>
      <c r="H9" s="453">
        <f>transport!H14</f>
        <v>5246.2371434118268</v>
      </c>
      <c r="I9" s="453">
        <f>transport!I14</f>
        <v>0</v>
      </c>
      <c r="J9" s="453">
        <f>transport!J14</f>
        <v>0</v>
      </c>
      <c r="K9" s="453">
        <f>transport!K14</f>
        <v>0</v>
      </c>
      <c r="L9" s="453">
        <f>transport!L14</f>
        <v>0</v>
      </c>
      <c r="M9" s="453">
        <f>transport!M14</f>
        <v>1693.3738554524041</v>
      </c>
      <c r="N9" s="453">
        <f>transport!N14</f>
        <v>0</v>
      </c>
      <c r="O9" s="453">
        <f>transport!O14</f>
        <v>0</v>
      </c>
      <c r="P9" s="453">
        <f>transport!P14</f>
        <v>0</v>
      </c>
      <c r="Q9" s="452">
        <f>SUM(B9:P9)</f>
        <v>40809.041251403083</v>
      </c>
    </row>
    <row r="10" spans="1:17">
      <c r="A10" s="448" t="s">
        <v>552</v>
      </c>
      <c r="B10" s="449">
        <f>transport!B54</f>
        <v>1.092899566550307</v>
      </c>
      <c r="C10" s="449">
        <f>transport!C54</f>
        <v>0</v>
      </c>
      <c r="D10" s="449">
        <f>transport!D54</f>
        <v>0</v>
      </c>
      <c r="E10" s="449">
        <f>transport!E54</f>
        <v>0</v>
      </c>
      <c r="F10" s="449">
        <f>transport!F54</f>
        <v>0</v>
      </c>
      <c r="G10" s="449">
        <f>transport!G54</f>
        <v>237.09358840624552</v>
      </c>
      <c r="H10" s="449">
        <f>transport!H54</f>
        <v>0</v>
      </c>
      <c r="I10" s="449">
        <f>transport!I54</f>
        <v>0</v>
      </c>
      <c r="J10" s="449">
        <f>transport!J54</f>
        <v>0</v>
      </c>
      <c r="K10" s="449">
        <f>transport!K54</f>
        <v>0</v>
      </c>
      <c r="L10" s="449">
        <f>transport!L54</f>
        <v>0</v>
      </c>
      <c r="M10" s="449">
        <f>transport!M54</f>
        <v>10.151436720039488</v>
      </c>
      <c r="N10" s="449">
        <f>transport!N54</f>
        <v>0</v>
      </c>
      <c r="O10" s="449">
        <f>transport!O54</f>
        <v>0</v>
      </c>
      <c r="P10" s="450">
        <f>transport!P54</f>
        <v>0</v>
      </c>
      <c r="Q10" s="448">
        <f t="shared" si="0"/>
        <v>248.33792469283532</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705.50623527098799</v>
      </c>
      <c r="C14" s="456"/>
      <c r="D14" s="456">
        <f>'SEAP template'!E25</f>
        <v>702.38356541159601</v>
      </c>
      <c r="E14" s="456"/>
      <c r="F14" s="456"/>
      <c r="G14" s="456"/>
      <c r="H14" s="456"/>
      <c r="I14" s="456"/>
      <c r="J14" s="456"/>
      <c r="K14" s="456"/>
      <c r="L14" s="456"/>
      <c r="M14" s="456"/>
      <c r="N14" s="456"/>
      <c r="O14" s="456"/>
      <c r="P14" s="457"/>
      <c r="Q14" s="448">
        <f t="shared" si="0"/>
        <v>1407.8898006825839</v>
      </c>
    </row>
    <row r="15" spans="1:17" s="461" customFormat="1">
      <c r="A15" s="458" t="s">
        <v>556</v>
      </c>
      <c r="B15" s="459">
        <f ca="1">SUM(B4:B14)</f>
        <v>27715.407924767977</v>
      </c>
      <c r="C15" s="459">
        <f t="shared" ref="C15:Q15" ca="1" si="1">SUM(C4:C14)</f>
        <v>0</v>
      </c>
      <c r="D15" s="459">
        <f t="shared" ca="1" si="1"/>
        <v>30849.960567663966</v>
      </c>
      <c r="E15" s="459">
        <f t="shared" si="1"/>
        <v>1148.633592609704</v>
      </c>
      <c r="F15" s="459">
        <f t="shared" ca="1" si="1"/>
        <v>48111.590966109528</v>
      </c>
      <c r="G15" s="459">
        <f t="shared" si="1"/>
        <v>33940.511086135106</v>
      </c>
      <c r="H15" s="459">
        <f t="shared" si="1"/>
        <v>5246.2371434118268</v>
      </c>
      <c r="I15" s="459">
        <f t="shared" si="1"/>
        <v>0</v>
      </c>
      <c r="J15" s="459">
        <f t="shared" si="1"/>
        <v>1018.7712447988119</v>
      </c>
      <c r="K15" s="459">
        <f t="shared" si="1"/>
        <v>0</v>
      </c>
      <c r="L15" s="459">
        <f t="shared" ca="1" si="1"/>
        <v>0</v>
      </c>
      <c r="M15" s="459">
        <f t="shared" si="1"/>
        <v>1703.5252921724436</v>
      </c>
      <c r="N15" s="459">
        <f t="shared" ca="1" si="1"/>
        <v>3756.4410594986607</v>
      </c>
      <c r="O15" s="459">
        <f t="shared" si="1"/>
        <v>29.703333333333333</v>
      </c>
      <c r="P15" s="459">
        <f t="shared" si="1"/>
        <v>190.66666666666666</v>
      </c>
      <c r="Q15" s="459">
        <f t="shared" ca="1" si="1"/>
        <v>153711.448877168</v>
      </c>
    </row>
    <row r="17" spans="1:17">
      <c r="A17" s="462" t="s">
        <v>557</v>
      </c>
      <c r="B17" s="766">
        <f ca="1">huishoudens!B10</f>
        <v>0.21234553198011105</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2982.9070091261378</v>
      </c>
      <c r="C22" s="449">
        <f t="shared" ref="C22:C32" ca="1" si="3">C4*$C$17</f>
        <v>0</v>
      </c>
      <c r="D22" s="449">
        <f t="shared" ref="D22:D32" si="4">D4*$D$17</f>
        <v>3616.4343826703639</v>
      </c>
      <c r="E22" s="449">
        <f t="shared" ref="E22:E32" si="5">E4*$E$17</f>
        <v>176.32953594275611</v>
      </c>
      <c r="F22" s="449">
        <f t="shared" ref="F22:F32" si="6">F4*$F$17</f>
        <v>7079.5016397393192</v>
      </c>
      <c r="G22" s="449">
        <f t="shared" ref="G22:G32" si="7">G4*$G$17</f>
        <v>0</v>
      </c>
      <c r="H22" s="449">
        <f t="shared" ref="H22:H32" si="8">H4*$H$17</f>
        <v>0</v>
      </c>
      <c r="I22" s="449">
        <f t="shared" ref="I22:I32" si="9">I4*$I$17</f>
        <v>0</v>
      </c>
      <c r="J22" s="449">
        <f t="shared" ref="J22:J32" si="10">J4*$J$17</f>
        <v>211.35580388926874</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14066.528371367845</v>
      </c>
    </row>
    <row r="23" spans="1:17">
      <c r="A23" s="448" t="s">
        <v>155</v>
      </c>
      <c r="B23" s="449">
        <f t="shared" ca="1" si="2"/>
        <v>1212.8914430308052</v>
      </c>
      <c r="C23" s="449">
        <f t="shared" ca="1" si="3"/>
        <v>0</v>
      </c>
      <c r="D23" s="449">
        <f t="shared" ca="1" si="4"/>
        <v>2291.0819097478252</v>
      </c>
      <c r="E23" s="449">
        <f t="shared" si="5"/>
        <v>31.70823227729144</v>
      </c>
      <c r="F23" s="449">
        <f t="shared" ca="1" si="6"/>
        <v>294.73482000494073</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3830.4164050608624</v>
      </c>
    </row>
    <row r="24" spans="1:17">
      <c r="A24" s="448" t="s">
        <v>193</v>
      </c>
      <c r="B24" s="449">
        <f t="shared" ca="1" si="2"/>
        <v>133.24172502475216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133.24172502475216</v>
      </c>
    </row>
    <row r="25" spans="1:17">
      <c r="A25" s="448" t="s">
        <v>111</v>
      </c>
      <c r="B25" s="449">
        <f t="shared" ca="1" si="2"/>
        <v>985.13468569585484</v>
      </c>
      <c r="C25" s="449">
        <f t="shared" ca="1" si="3"/>
        <v>0</v>
      </c>
      <c r="D25" s="449">
        <f t="shared" si="4"/>
        <v>75.489238729585367</v>
      </c>
      <c r="E25" s="449">
        <f t="shared" si="5"/>
        <v>11.028512813142495</v>
      </c>
      <c r="F25" s="449">
        <f t="shared" si="6"/>
        <v>5302.5479934059586</v>
      </c>
      <c r="G25" s="449">
        <f t="shared" si="7"/>
        <v>0</v>
      </c>
      <c r="H25" s="449">
        <f t="shared" si="8"/>
        <v>0</v>
      </c>
      <c r="I25" s="449">
        <f t="shared" si="9"/>
        <v>0</v>
      </c>
      <c r="J25" s="449">
        <f t="shared" si="10"/>
        <v>146.67320856655036</v>
      </c>
      <c r="K25" s="449">
        <f t="shared" si="11"/>
        <v>0</v>
      </c>
      <c r="L25" s="449">
        <f t="shared" si="12"/>
        <v>0</v>
      </c>
      <c r="M25" s="449">
        <f t="shared" si="13"/>
        <v>0</v>
      </c>
      <c r="N25" s="449">
        <f t="shared" si="14"/>
        <v>0</v>
      </c>
      <c r="O25" s="449">
        <f t="shared" si="15"/>
        <v>0</v>
      </c>
      <c r="P25" s="450">
        <f t="shared" si="16"/>
        <v>0</v>
      </c>
      <c r="Q25" s="448">
        <f t="shared" ca="1" si="17"/>
        <v>6520.8736392110923</v>
      </c>
    </row>
    <row r="26" spans="1:17">
      <c r="A26" s="448" t="s">
        <v>643</v>
      </c>
      <c r="B26" s="449">
        <f t="shared" ca="1" si="2"/>
        <v>420.93811224331108</v>
      </c>
      <c r="C26" s="449">
        <f t="shared" ca="1" si="3"/>
        <v>0</v>
      </c>
      <c r="D26" s="449">
        <f t="shared" si="4"/>
        <v>106.47576549767068</v>
      </c>
      <c r="E26" s="449">
        <f t="shared" si="5"/>
        <v>4.4515490778248905</v>
      </c>
      <c r="F26" s="449">
        <f t="shared" si="6"/>
        <v>169.01033480102495</v>
      </c>
      <c r="G26" s="449">
        <f t="shared" si="7"/>
        <v>0</v>
      </c>
      <c r="H26" s="449">
        <f t="shared" si="8"/>
        <v>0</v>
      </c>
      <c r="I26" s="449">
        <f t="shared" si="9"/>
        <v>0</v>
      </c>
      <c r="J26" s="449">
        <f t="shared" si="10"/>
        <v>2.6160082029603466</v>
      </c>
      <c r="K26" s="449">
        <f t="shared" si="11"/>
        <v>0</v>
      </c>
      <c r="L26" s="449">
        <f t="shared" si="12"/>
        <v>0</v>
      </c>
      <c r="M26" s="449">
        <f t="shared" si="13"/>
        <v>0</v>
      </c>
      <c r="N26" s="449">
        <f t="shared" si="14"/>
        <v>0</v>
      </c>
      <c r="O26" s="449">
        <f t="shared" si="15"/>
        <v>0</v>
      </c>
      <c r="P26" s="450">
        <f t="shared" si="16"/>
        <v>0</v>
      </c>
      <c r="Q26" s="448">
        <f t="shared" ca="1" si="17"/>
        <v>703.49176982279187</v>
      </c>
    </row>
    <row r="27" spans="1:17" s="454" customFormat="1">
      <c r="A27" s="452" t="s">
        <v>562</v>
      </c>
      <c r="B27" s="760">
        <f t="shared" ca="1" si="2"/>
        <v>8.6895526017147257E-2</v>
      </c>
      <c r="C27" s="453">
        <f t="shared" ca="1" si="3"/>
        <v>0</v>
      </c>
      <c r="D27" s="453">
        <f t="shared" si="4"/>
        <v>0.32925780953251671</v>
      </c>
      <c r="E27" s="453">
        <f t="shared" si="5"/>
        <v>37.221995411387837</v>
      </c>
      <c r="F27" s="453">
        <f t="shared" si="6"/>
        <v>0</v>
      </c>
      <c r="G27" s="453">
        <f t="shared" si="7"/>
        <v>8998.8124718936069</v>
      </c>
      <c r="H27" s="453">
        <f t="shared" si="8"/>
        <v>1306.3130487095448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10342.763669350088</v>
      </c>
    </row>
    <row r="28" spans="1:17">
      <c r="A28" s="448" t="s">
        <v>552</v>
      </c>
      <c r="B28" s="449">
        <f t="shared" ca="1" si="2"/>
        <v>0.2320723398599577</v>
      </c>
      <c r="C28" s="449">
        <f t="shared" ca="1" si="3"/>
        <v>0</v>
      </c>
      <c r="D28" s="449">
        <f t="shared" si="4"/>
        <v>0</v>
      </c>
      <c r="E28" s="449">
        <f t="shared" si="5"/>
        <v>0</v>
      </c>
      <c r="F28" s="449">
        <f t="shared" si="6"/>
        <v>0</v>
      </c>
      <c r="G28" s="449">
        <f t="shared" si="7"/>
        <v>63.303988104467557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63.536060444327518</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149.81109684390333</v>
      </c>
      <c r="C32" s="449">
        <f t="shared" ca="1" si="3"/>
        <v>0</v>
      </c>
      <c r="D32" s="449">
        <f t="shared" si="4"/>
        <v>141.8814802131424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291.6925770570457</v>
      </c>
    </row>
    <row r="33" spans="1:17" s="461" customFormat="1">
      <c r="A33" s="458" t="s">
        <v>556</v>
      </c>
      <c r="B33" s="459">
        <f ca="1">SUM(B22:B32)</f>
        <v>5885.2430398306415</v>
      </c>
      <c r="C33" s="459">
        <f t="shared" ref="C33:Q33" ca="1" si="19">SUM(C22:C32)</f>
        <v>0</v>
      </c>
      <c r="D33" s="459">
        <f t="shared" ca="1" si="19"/>
        <v>6231.6920346681209</v>
      </c>
      <c r="E33" s="459">
        <f t="shared" si="19"/>
        <v>260.73982552240278</v>
      </c>
      <c r="F33" s="459">
        <f t="shared" ca="1" si="19"/>
        <v>12845.794787951245</v>
      </c>
      <c r="G33" s="459">
        <f t="shared" si="19"/>
        <v>9062.1164599980748</v>
      </c>
      <c r="H33" s="459">
        <f t="shared" si="19"/>
        <v>1306.3130487095448</v>
      </c>
      <c r="I33" s="459">
        <f t="shared" si="19"/>
        <v>0</v>
      </c>
      <c r="J33" s="459">
        <f t="shared" si="19"/>
        <v>360.64502065877946</v>
      </c>
      <c r="K33" s="459">
        <f t="shared" si="19"/>
        <v>0</v>
      </c>
      <c r="L33" s="459">
        <f t="shared" ca="1" si="19"/>
        <v>0</v>
      </c>
      <c r="M33" s="459">
        <f t="shared" si="19"/>
        <v>0</v>
      </c>
      <c r="N33" s="459">
        <f t="shared" ca="1" si="19"/>
        <v>0</v>
      </c>
      <c r="O33" s="459">
        <f t="shared" si="19"/>
        <v>0</v>
      </c>
      <c r="P33" s="459">
        <f t="shared" si="19"/>
        <v>0</v>
      </c>
      <c r="Q33" s="459">
        <f t="shared" ca="1" si="19"/>
        <v>35952.5442173388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1085.3489210094162</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1085.3489210094162</v>
      </c>
      <c r="C10" s="1012">
        <f>SUM(C4:C9)</f>
        <v>0</v>
      </c>
      <c r="D10" s="1012">
        <f t="shared" ref="D10:H10" si="0">SUM(D8:D9)</f>
        <v>0</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0.21234553198011105</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0</v>
      </c>
      <c r="D20" s="1012">
        <f t="shared" ref="D20:H20" si="2">SUM(D17:D19)</f>
        <v>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0.21234553198011105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0.21234553198011105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0.21234553198011105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2744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6066</v>
      </c>
      <c r="C14" s="326"/>
      <c r="D14" s="326"/>
      <c r="E14" s="326"/>
      <c r="F14" s="326"/>
    </row>
    <row r="15" spans="1:6">
      <c r="A15" s="1282" t="s">
        <v>183</v>
      </c>
      <c r="B15" s="1283">
        <v>183</v>
      </c>
      <c r="C15" s="326"/>
      <c r="D15" s="326"/>
      <c r="E15" s="326"/>
      <c r="F15" s="326"/>
    </row>
    <row r="16" spans="1:6">
      <c r="A16" s="1282" t="s">
        <v>6</v>
      </c>
      <c r="B16" s="1283">
        <v>1709</v>
      </c>
      <c r="C16" s="326"/>
      <c r="D16" s="326"/>
      <c r="E16" s="326"/>
      <c r="F16" s="326"/>
    </row>
    <row r="17" spans="1:6">
      <c r="A17" s="1282" t="s">
        <v>7</v>
      </c>
      <c r="B17" s="1283">
        <v>2069</v>
      </c>
      <c r="C17" s="326"/>
      <c r="D17" s="326"/>
      <c r="E17" s="326"/>
      <c r="F17" s="326"/>
    </row>
    <row r="18" spans="1:6">
      <c r="A18" s="1282" t="s">
        <v>8</v>
      </c>
      <c r="B18" s="1283">
        <v>2980</v>
      </c>
      <c r="C18" s="326"/>
      <c r="D18" s="326"/>
      <c r="E18" s="326"/>
      <c r="F18" s="326"/>
    </row>
    <row r="19" spans="1:6">
      <c r="A19" s="1282" t="s">
        <v>9</v>
      </c>
      <c r="B19" s="1283">
        <v>2845</v>
      </c>
      <c r="C19" s="326"/>
      <c r="D19" s="326"/>
      <c r="E19" s="326"/>
      <c r="F19" s="326"/>
    </row>
    <row r="20" spans="1:6">
      <c r="A20" s="1282" t="s">
        <v>10</v>
      </c>
      <c r="B20" s="1283">
        <v>1461</v>
      </c>
      <c r="C20" s="326"/>
      <c r="D20" s="326"/>
      <c r="E20" s="326"/>
      <c r="F20" s="326"/>
    </row>
    <row r="21" spans="1:6">
      <c r="A21" s="1282" t="s">
        <v>11</v>
      </c>
      <c r="B21" s="1283">
        <v>17144</v>
      </c>
      <c r="C21" s="326"/>
      <c r="D21" s="326"/>
      <c r="E21" s="326"/>
      <c r="F21" s="326"/>
    </row>
    <row r="22" spans="1:6">
      <c r="A22" s="1282" t="s">
        <v>12</v>
      </c>
      <c r="B22" s="1283">
        <v>31983</v>
      </c>
      <c r="C22" s="326"/>
      <c r="D22" s="326"/>
      <c r="E22" s="326"/>
      <c r="F22" s="326"/>
    </row>
    <row r="23" spans="1:6">
      <c r="A23" s="1282" t="s">
        <v>13</v>
      </c>
      <c r="B23" s="1283">
        <v>959</v>
      </c>
      <c r="C23" s="326"/>
      <c r="D23" s="326"/>
      <c r="E23" s="326"/>
      <c r="F23" s="326"/>
    </row>
    <row r="24" spans="1:6">
      <c r="A24" s="1282" t="s">
        <v>14</v>
      </c>
      <c r="B24" s="1283">
        <v>47</v>
      </c>
      <c r="C24" s="326"/>
      <c r="D24" s="326"/>
      <c r="E24" s="326"/>
      <c r="F24" s="326"/>
    </row>
    <row r="25" spans="1:6">
      <c r="A25" s="1282" t="s">
        <v>15</v>
      </c>
      <c r="B25" s="1283">
        <v>4171</v>
      </c>
      <c r="C25" s="326"/>
      <c r="D25" s="326"/>
      <c r="E25" s="326"/>
      <c r="F25" s="326"/>
    </row>
    <row r="26" spans="1:6">
      <c r="A26" s="1282" t="s">
        <v>16</v>
      </c>
      <c r="B26" s="1283">
        <v>510</v>
      </c>
      <c r="C26" s="326"/>
      <c r="D26" s="326"/>
      <c r="E26" s="326"/>
      <c r="F26" s="326"/>
    </row>
    <row r="27" spans="1:6">
      <c r="A27" s="1282" t="s">
        <v>17</v>
      </c>
      <c r="B27" s="1283">
        <v>8</v>
      </c>
      <c r="C27" s="326"/>
      <c r="D27" s="326"/>
      <c r="E27" s="326"/>
      <c r="F27" s="326"/>
    </row>
    <row r="28" spans="1:6" s="43" customFormat="1">
      <c r="A28" s="1284" t="s">
        <v>18</v>
      </c>
      <c r="B28" s="1285">
        <v>332909</v>
      </c>
      <c r="C28" s="332"/>
      <c r="D28" s="332"/>
      <c r="E28" s="332"/>
      <c r="F28" s="332"/>
    </row>
    <row r="29" spans="1:6">
      <c r="A29" s="1284" t="s">
        <v>978</v>
      </c>
      <c r="B29" s="1285">
        <v>191</v>
      </c>
      <c r="C29" s="332"/>
      <c r="D29" s="332"/>
      <c r="E29" s="332"/>
      <c r="F29" s="332"/>
    </row>
    <row r="30" spans="1:6">
      <c r="A30" s="1277" t="s">
        <v>979</v>
      </c>
      <c r="B30" s="1286">
        <v>28</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0</v>
      </c>
      <c r="F36" s="1283">
        <v>0</v>
      </c>
    </row>
    <row r="37" spans="1:6">
      <c r="A37" s="1282" t="s">
        <v>24</v>
      </c>
      <c r="B37" s="1282" t="s">
        <v>27</v>
      </c>
      <c r="C37" s="1283">
        <v>0</v>
      </c>
      <c r="D37" s="1283">
        <v>0</v>
      </c>
      <c r="E37" s="1283">
        <v>0</v>
      </c>
      <c r="F37" s="1283">
        <v>0</v>
      </c>
    </row>
    <row r="38" spans="1:6">
      <c r="A38" s="1282" t="s">
        <v>24</v>
      </c>
      <c r="B38" s="1282" t="s">
        <v>28</v>
      </c>
      <c r="C38" s="1283">
        <v>2</v>
      </c>
      <c r="D38" s="1283">
        <v>8430.8123470481005</v>
      </c>
      <c r="E38" s="1283">
        <v>2</v>
      </c>
      <c r="F38" s="1283">
        <v>2095.92018517</v>
      </c>
    </row>
    <row r="39" spans="1:6">
      <c r="A39" s="1282" t="s">
        <v>29</v>
      </c>
      <c r="B39" s="1282" t="s">
        <v>30</v>
      </c>
      <c r="C39" s="1283">
        <v>1186</v>
      </c>
      <c r="D39" s="1283">
        <v>19848271.073469099</v>
      </c>
      <c r="E39" s="1283">
        <v>2546</v>
      </c>
      <c r="F39" s="1283">
        <v>13187741.4183944</v>
      </c>
    </row>
    <row r="40" spans="1:6">
      <c r="A40" s="1282" t="s">
        <v>29</v>
      </c>
      <c r="B40" s="1282" t="s">
        <v>28</v>
      </c>
      <c r="C40" s="1283">
        <v>0</v>
      </c>
      <c r="D40" s="1283">
        <v>0</v>
      </c>
      <c r="E40" s="1283">
        <v>0</v>
      </c>
      <c r="F40" s="1283">
        <v>0</v>
      </c>
    </row>
    <row r="41" spans="1:6">
      <c r="A41" s="1282" t="s">
        <v>31</v>
      </c>
      <c r="B41" s="1282" t="s">
        <v>32</v>
      </c>
      <c r="C41" s="1283">
        <v>11</v>
      </c>
      <c r="D41" s="1283">
        <v>164808.18664113199</v>
      </c>
      <c r="E41" s="1283">
        <v>56</v>
      </c>
      <c r="F41" s="1283">
        <v>517354.72363726603</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0</v>
      </c>
      <c r="D44" s="1283">
        <v>0</v>
      </c>
      <c r="E44" s="1283">
        <v>0</v>
      </c>
      <c r="F44" s="1283">
        <v>0</v>
      </c>
    </row>
    <row r="45" spans="1:6">
      <c r="A45" s="1282" t="s">
        <v>31</v>
      </c>
      <c r="B45" s="1282" t="s">
        <v>36</v>
      </c>
      <c r="C45" s="1283">
        <v>0</v>
      </c>
      <c r="D45" s="1283">
        <v>0</v>
      </c>
      <c r="E45" s="1283">
        <v>0</v>
      </c>
      <c r="F45" s="1283">
        <v>0</v>
      </c>
    </row>
    <row r="46" spans="1:6">
      <c r="A46" s="1282" t="s">
        <v>31</v>
      </c>
      <c r="B46" s="1282" t="s">
        <v>37</v>
      </c>
      <c r="C46" s="1283">
        <v>0</v>
      </c>
      <c r="D46" s="1283">
        <v>0</v>
      </c>
      <c r="E46" s="1283">
        <v>0</v>
      </c>
      <c r="F46" s="1283">
        <v>0</v>
      </c>
    </row>
    <row r="47" spans="1:6">
      <c r="A47" s="1282" t="s">
        <v>31</v>
      </c>
      <c r="B47" s="1282" t="s">
        <v>38</v>
      </c>
      <c r="C47" s="1283">
        <v>0</v>
      </c>
      <c r="D47" s="1283">
        <v>0</v>
      </c>
      <c r="E47" s="1283">
        <v>0</v>
      </c>
      <c r="F47" s="1283">
        <v>0</v>
      </c>
    </row>
    <row r="48" spans="1:6">
      <c r="A48" s="1282" t="s">
        <v>31</v>
      </c>
      <c r="B48" s="1282" t="s">
        <v>28</v>
      </c>
      <c r="C48" s="1283">
        <v>24</v>
      </c>
      <c r="D48" s="1283">
        <v>419568.47631725902</v>
      </c>
      <c r="E48" s="1283">
        <v>43</v>
      </c>
      <c r="F48" s="1283">
        <v>1040003.0745115899</v>
      </c>
    </row>
    <row r="49" spans="1:6">
      <c r="A49" s="1282" t="s">
        <v>31</v>
      </c>
      <c r="B49" s="1282" t="s">
        <v>39</v>
      </c>
      <c r="C49" s="1283">
        <v>0</v>
      </c>
      <c r="D49" s="1283">
        <v>0</v>
      </c>
      <c r="E49" s="1283">
        <v>3</v>
      </c>
      <c r="F49" s="1283">
        <v>342299.236500739</v>
      </c>
    </row>
    <row r="50" spans="1:6">
      <c r="A50" s="1282" t="s">
        <v>31</v>
      </c>
      <c r="B50" s="1282" t="s">
        <v>40</v>
      </c>
      <c r="C50" s="1283">
        <v>0</v>
      </c>
      <c r="D50" s="1283">
        <v>0</v>
      </c>
      <c r="E50" s="1283">
        <v>4</v>
      </c>
      <c r="F50" s="1283">
        <v>82669.168864484396</v>
      </c>
    </row>
    <row r="51" spans="1:6">
      <c r="A51" s="1282" t="s">
        <v>41</v>
      </c>
      <c r="B51" s="1282" t="s">
        <v>42</v>
      </c>
      <c r="C51" s="1283">
        <v>15</v>
      </c>
      <c r="D51" s="1283">
        <v>284466.20586394198</v>
      </c>
      <c r="E51" s="1283">
        <v>184</v>
      </c>
      <c r="F51" s="1283">
        <v>3229773.2970846398</v>
      </c>
    </row>
    <row r="52" spans="1:6">
      <c r="A52" s="1282" t="s">
        <v>41</v>
      </c>
      <c r="B52" s="1282" t="s">
        <v>28</v>
      </c>
      <c r="C52" s="1283">
        <v>4</v>
      </c>
      <c r="D52" s="1283">
        <v>129845.43784083601</v>
      </c>
      <c r="E52" s="1283">
        <v>22</v>
      </c>
      <c r="F52" s="1283">
        <v>1409526.9816145401</v>
      </c>
    </row>
    <row r="53" spans="1:6">
      <c r="A53" s="1282" t="s">
        <v>43</v>
      </c>
      <c r="B53" s="1282" t="s">
        <v>44</v>
      </c>
      <c r="C53" s="1283">
        <v>37</v>
      </c>
      <c r="D53" s="1283">
        <v>702383.56541159598</v>
      </c>
      <c r="E53" s="1283">
        <v>113</v>
      </c>
      <c r="F53" s="1283">
        <v>705506.23527098796</v>
      </c>
    </row>
    <row r="54" spans="1:6">
      <c r="A54" s="1282" t="s">
        <v>45</v>
      </c>
      <c r="B54" s="1282" t="s">
        <v>46</v>
      </c>
      <c r="C54" s="1283">
        <v>0</v>
      </c>
      <c r="D54" s="1283">
        <v>0</v>
      </c>
      <c r="E54" s="1283">
        <v>5</v>
      </c>
      <c r="F54" s="1283">
        <v>627476</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9</v>
      </c>
      <c r="D57" s="1283">
        <v>159786.002416573</v>
      </c>
      <c r="E57" s="1283">
        <v>53</v>
      </c>
      <c r="F57" s="1283">
        <v>543646.596188333</v>
      </c>
    </row>
    <row r="58" spans="1:6">
      <c r="A58" s="1282" t="s">
        <v>48</v>
      </c>
      <c r="B58" s="1282" t="s">
        <v>50</v>
      </c>
      <c r="C58" s="1283">
        <v>0</v>
      </c>
      <c r="D58" s="1283">
        <v>0</v>
      </c>
      <c r="E58" s="1283">
        <v>0</v>
      </c>
      <c r="F58" s="1283">
        <v>0</v>
      </c>
    </row>
    <row r="59" spans="1:6">
      <c r="A59" s="1282" t="s">
        <v>48</v>
      </c>
      <c r="B59" s="1282" t="s">
        <v>51</v>
      </c>
      <c r="C59" s="1283">
        <v>0</v>
      </c>
      <c r="D59" s="1283">
        <v>0</v>
      </c>
      <c r="E59" s="1283">
        <v>27</v>
      </c>
      <c r="F59" s="1283">
        <v>587313.11719981604</v>
      </c>
    </row>
    <row r="60" spans="1:6">
      <c r="A60" s="1282" t="s">
        <v>48</v>
      </c>
      <c r="B60" s="1282" t="s">
        <v>52</v>
      </c>
      <c r="C60" s="1283">
        <v>11</v>
      </c>
      <c r="D60" s="1283">
        <v>370973.01728971902</v>
      </c>
      <c r="E60" s="1283">
        <v>28</v>
      </c>
      <c r="F60" s="1283">
        <v>778570.88988942397</v>
      </c>
    </row>
    <row r="61" spans="1:6">
      <c r="A61" s="1282" t="s">
        <v>48</v>
      </c>
      <c r="B61" s="1282" t="s">
        <v>53</v>
      </c>
      <c r="C61" s="1283">
        <v>22</v>
      </c>
      <c r="D61" s="1283">
        <v>2455683.0265552602</v>
      </c>
      <c r="E61" s="1283">
        <v>34</v>
      </c>
      <c r="F61" s="1283">
        <v>614490.54765738396</v>
      </c>
    </row>
    <row r="62" spans="1:6">
      <c r="A62" s="1282" t="s">
        <v>48</v>
      </c>
      <c r="B62" s="1282" t="s">
        <v>54</v>
      </c>
      <c r="C62" s="1283">
        <v>3</v>
      </c>
      <c r="D62" s="1283">
        <v>149721.04289509999</v>
      </c>
      <c r="E62" s="1283">
        <v>3</v>
      </c>
      <c r="F62" s="1283">
        <v>21604.4011484648</v>
      </c>
    </row>
    <row r="63" spans="1:6">
      <c r="A63" s="1282" t="s">
        <v>48</v>
      </c>
      <c r="B63" s="1282" t="s">
        <v>28</v>
      </c>
      <c r="C63" s="1283">
        <v>86</v>
      </c>
      <c r="D63" s="1283">
        <v>9438104.8179574907</v>
      </c>
      <c r="E63" s="1283">
        <v>152</v>
      </c>
      <c r="F63" s="1283">
        <v>3166250.8962725</v>
      </c>
    </row>
    <row r="64" spans="1:6">
      <c r="A64" s="1282" t="s">
        <v>55</v>
      </c>
      <c r="B64" s="1282" t="s">
        <v>56</v>
      </c>
      <c r="C64" s="1283">
        <v>0</v>
      </c>
      <c r="D64" s="1283">
        <v>0</v>
      </c>
      <c r="E64" s="1283">
        <v>0</v>
      </c>
      <c r="F64" s="1283">
        <v>0</v>
      </c>
    </row>
    <row r="65" spans="1:6">
      <c r="A65" s="1282" t="s">
        <v>55</v>
      </c>
      <c r="B65" s="1282" t="s">
        <v>28</v>
      </c>
      <c r="C65" s="1283">
        <v>0</v>
      </c>
      <c r="D65" s="1283">
        <v>0</v>
      </c>
      <c r="E65" s="1283">
        <v>4</v>
      </c>
      <c r="F65" s="1283">
        <v>65069.252210435203</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0</v>
      </c>
      <c r="D68" s="1286">
        <v>0</v>
      </c>
      <c r="E68" s="1286">
        <v>0</v>
      </c>
      <c r="F68" s="1286">
        <v>0</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18744995</v>
      </c>
      <c r="E73" s="447"/>
      <c r="F73" s="326"/>
    </row>
    <row r="74" spans="1:6">
      <c r="A74" s="1282" t="s">
        <v>63</v>
      </c>
      <c r="B74" s="1282" t="s">
        <v>760</v>
      </c>
      <c r="C74" s="1296" t="s">
        <v>761</v>
      </c>
      <c r="D74" s="1297">
        <v>2951290.9930598014</v>
      </c>
      <c r="E74" s="447"/>
      <c r="F74" s="326"/>
    </row>
    <row r="75" spans="1:6">
      <c r="A75" s="1282" t="s">
        <v>64</v>
      </c>
      <c r="B75" s="1282" t="s">
        <v>758</v>
      </c>
      <c r="C75" s="1296" t="s">
        <v>762</v>
      </c>
      <c r="D75" s="1297">
        <v>17666600</v>
      </c>
      <c r="E75" s="447"/>
      <c r="F75" s="326"/>
    </row>
    <row r="76" spans="1:6">
      <c r="A76" s="1282" t="s">
        <v>64</v>
      </c>
      <c r="B76" s="1282" t="s">
        <v>760</v>
      </c>
      <c r="C76" s="1296" t="s">
        <v>763</v>
      </c>
      <c r="D76" s="1297">
        <v>1351939.9930598016</v>
      </c>
      <c r="E76" s="447"/>
      <c r="F76" s="326"/>
    </row>
    <row r="77" spans="1:6">
      <c r="A77" s="1282" t="s">
        <v>65</v>
      </c>
      <c r="B77" s="1282" t="s">
        <v>758</v>
      </c>
      <c r="C77" s="1296" t="s">
        <v>764</v>
      </c>
      <c r="D77" s="1297">
        <v>0</v>
      </c>
      <c r="E77" s="447"/>
      <c r="F77" s="326"/>
    </row>
    <row r="78" spans="1:6">
      <c r="A78" s="1277" t="s">
        <v>65</v>
      </c>
      <c r="B78" s="1277" t="s">
        <v>760</v>
      </c>
      <c r="C78" s="1277" t="s">
        <v>765</v>
      </c>
      <c r="D78" s="1298">
        <v>0</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65028.013880396844</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859.67922338075346</v>
      </c>
      <c r="C91" s="326"/>
      <c r="D91" s="326"/>
      <c r="E91" s="326"/>
      <c r="F91" s="326"/>
    </row>
    <row r="92" spans="1:6">
      <c r="A92" s="1277" t="s">
        <v>68</v>
      </c>
      <c r="B92" s="1278">
        <v>225.6696976286629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689</v>
      </c>
      <c r="C97" s="326"/>
      <c r="D97" s="326"/>
      <c r="E97" s="326"/>
      <c r="F97" s="326"/>
    </row>
    <row r="98" spans="1:6">
      <c r="A98" s="1282" t="s">
        <v>71</v>
      </c>
      <c r="B98" s="1283">
        <v>0</v>
      </c>
      <c r="C98" s="326"/>
      <c r="D98" s="326"/>
      <c r="E98" s="326"/>
      <c r="F98" s="326"/>
    </row>
    <row r="99" spans="1:6">
      <c r="A99" s="1282" t="s">
        <v>72</v>
      </c>
      <c r="B99" s="1283">
        <v>225</v>
      </c>
      <c r="C99" s="326"/>
      <c r="D99" s="326"/>
      <c r="E99" s="326"/>
      <c r="F99" s="326"/>
    </row>
    <row r="100" spans="1:6">
      <c r="A100" s="1282" t="s">
        <v>73</v>
      </c>
      <c r="B100" s="1283">
        <v>328</v>
      </c>
      <c r="C100" s="326"/>
      <c r="D100" s="326"/>
      <c r="E100" s="326"/>
      <c r="F100" s="326"/>
    </row>
    <row r="101" spans="1:6">
      <c r="A101" s="1282" t="s">
        <v>74</v>
      </c>
      <c r="B101" s="1283">
        <v>73</v>
      </c>
      <c r="C101" s="326"/>
      <c r="D101" s="326"/>
      <c r="E101" s="326"/>
      <c r="F101" s="326"/>
    </row>
    <row r="102" spans="1:6">
      <c r="A102" s="1282" t="s">
        <v>75</v>
      </c>
      <c r="B102" s="1283">
        <v>49</v>
      </c>
      <c r="C102" s="326"/>
      <c r="D102" s="326"/>
      <c r="E102" s="326"/>
      <c r="F102" s="326"/>
    </row>
    <row r="103" spans="1:6">
      <c r="A103" s="1282" t="s">
        <v>76</v>
      </c>
      <c r="B103" s="1283">
        <v>166</v>
      </c>
      <c r="C103" s="326"/>
      <c r="D103" s="326"/>
      <c r="E103" s="326"/>
      <c r="F103" s="326"/>
    </row>
    <row r="104" spans="1:6">
      <c r="A104" s="1282" t="s">
        <v>77</v>
      </c>
      <c r="B104" s="1283">
        <v>1016</v>
      </c>
      <c r="C104" s="326"/>
      <c r="D104" s="326"/>
      <c r="E104" s="326"/>
      <c r="F104" s="326"/>
    </row>
    <row r="105" spans="1:6">
      <c r="A105" s="1277" t="s">
        <v>78</v>
      </c>
      <c r="B105" s="1286">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5</v>
      </c>
      <c r="C123" s="1283">
        <v>1</v>
      </c>
      <c r="D123" s="326"/>
      <c r="E123" s="326"/>
      <c r="F123" s="326"/>
    </row>
    <row r="124" spans="1:6" s="43" customFormat="1">
      <c r="A124" s="1284" t="s">
        <v>88</v>
      </c>
      <c r="B124" s="1305">
        <v>0</v>
      </c>
      <c r="C124" s="1305">
        <v>1</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15</v>
      </c>
      <c r="C129" s="326"/>
      <c r="D129" s="326"/>
      <c r="E129" s="326"/>
      <c r="F129" s="326"/>
    </row>
    <row r="130" spans="1:6">
      <c r="A130" s="1282" t="s">
        <v>290</v>
      </c>
      <c r="B130" s="1283">
        <v>2</v>
      </c>
      <c r="C130" s="326"/>
      <c r="D130" s="326"/>
      <c r="E130" s="326"/>
      <c r="F130" s="326"/>
    </row>
    <row r="131" spans="1:6">
      <c r="A131" s="1282" t="s">
        <v>291</v>
      </c>
      <c r="B131" s="1283">
        <v>2</v>
      </c>
      <c r="C131" s="326"/>
      <c r="D131" s="326"/>
      <c r="E131" s="326"/>
      <c r="F131" s="326"/>
    </row>
    <row r="132" spans="1:6">
      <c r="A132" s="1277" t="s">
        <v>292</v>
      </c>
      <c r="B132" s="1278">
        <v>3</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27715.40792476798</v>
      </c>
      <c r="C3" s="43" t="s">
        <v>169</v>
      </c>
      <c r="D3" s="43"/>
      <c r="E3" s="156"/>
      <c r="F3" s="43"/>
      <c r="G3" s="43"/>
      <c r="H3" s="43"/>
      <c r="I3" s="43"/>
      <c r="J3" s="43"/>
      <c r="K3" s="96"/>
    </row>
    <row r="4" spans="1:11">
      <c r="A4" s="354" t="s">
        <v>170</v>
      </c>
      <c r="B4" s="49">
        <f>IF(ISERROR('SEAP template'!B78+'SEAP template'!C78),0,'SEAP template'!B78+'SEAP template'!C78)</f>
        <v>1085.3489210094162</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0.21234553198011105</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627.476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627.476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0.21234553198011105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133.24172502475216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13187.7414183944</v>
      </c>
      <c r="C5" s="17">
        <f>IF(ISERROR('Eigen informatie GS &amp; warmtenet'!B57),0,'Eigen informatie GS &amp; warmtenet'!B57)</f>
        <v>0</v>
      </c>
      <c r="D5" s="30">
        <f>(SUM(HH_hh_gas_kWh,HH_rest_gas_kWh)/1000)*0.902</f>
        <v>17903.140508269127</v>
      </c>
      <c r="E5" s="17">
        <f>B32*B41</f>
        <v>776.78209666412386</v>
      </c>
      <c r="F5" s="17">
        <f>B36*B45</f>
        <v>26514.987414754003</v>
      </c>
      <c r="G5" s="18"/>
      <c r="H5" s="17"/>
      <c r="I5" s="17"/>
      <c r="J5" s="17">
        <f>B35*B44+C35*C44</f>
        <v>597.05029347251059</v>
      </c>
      <c r="K5" s="17"/>
      <c r="L5" s="17"/>
      <c r="M5" s="17"/>
      <c r="N5" s="17">
        <f>B34*B43+C34*C43</f>
        <v>3475.5529369127335</v>
      </c>
      <c r="O5" s="17">
        <f>B52*B53*B54</f>
        <v>26.576666666666668</v>
      </c>
      <c r="P5" s="17">
        <f>B60*B61*B62/1000-B60*B61*B62/1000/B63</f>
        <v>152.53333333333333</v>
      </c>
    </row>
    <row r="6" spans="1:16">
      <c r="A6" s="16" t="s">
        <v>621</v>
      </c>
      <c r="B6" s="768">
        <f>kWh_PV_kleiner_dan_10kW</f>
        <v>859.67922338075346</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14047.420641775154</v>
      </c>
      <c r="C8" s="21">
        <f>C5</f>
        <v>0</v>
      </c>
      <c r="D8" s="21">
        <f>D5</f>
        <v>17903.140508269127</v>
      </c>
      <c r="E8" s="21">
        <f>E5</f>
        <v>776.78209666412386</v>
      </c>
      <c r="F8" s="21">
        <f>F5</f>
        <v>26514.987414754003</v>
      </c>
      <c r="G8" s="21"/>
      <c r="H8" s="21"/>
      <c r="I8" s="21"/>
      <c r="J8" s="21">
        <f>J5</f>
        <v>597.05029347251059</v>
      </c>
      <c r="K8" s="21"/>
      <c r="L8" s="21">
        <f>L5</f>
        <v>0</v>
      </c>
      <c r="M8" s="21">
        <f>M5</f>
        <v>0</v>
      </c>
      <c r="N8" s="21">
        <f>N5</f>
        <v>3475.5529369127335</v>
      </c>
      <c r="O8" s="21">
        <f>O5</f>
        <v>26.576666666666668</v>
      </c>
      <c r="P8" s="21">
        <f>P5</f>
        <v>152.53333333333333</v>
      </c>
    </row>
    <row r="9" spans="1:16">
      <c r="B9" s="19"/>
      <c r="C9" s="19"/>
      <c r="D9" s="256"/>
      <c r="E9" s="19"/>
      <c r="F9" s="19"/>
      <c r="G9" s="19"/>
      <c r="H9" s="19"/>
      <c r="I9" s="19"/>
      <c r="J9" s="19"/>
      <c r="K9" s="19"/>
      <c r="L9" s="19"/>
      <c r="M9" s="19"/>
      <c r="N9" s="19"/>
      <c r="O9" s="19"/>
      <c r="P9" s="19"/>
    </row>
    <row r="10" spans="1:16">
      <c r="A10" s="24" t="s">
        <v>213</v>
      </c>
      <c r="B10" s="25">
        <f ca="1">'EF ele_warmte'!B12</f>
        <v>0.21234553198011105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2982.9070091261378</v>
      </c>
      <c r="C12" s="23">
        <f ca="1">C10*C8</f>
        <v>0</v>
      </c>
      <c r="D12" s="23">
        <f>D8*D10</f>
        <v>3616.4343826703639</v>
      </c>
      <c r="E12" s="23">
        <f>E10*E8</f>
        <v>176.32953594275611</v>
      </c>
      <c r="F12" s="23">
        <f>F10*F8</f>
        <v>7079.5016397393192</v>
      </c>
      <c r="G12" s="23"/>
      <c r="H12" s="23"/>
      <c r="I12" s="23"/>
      <c r="J12" s="23">
        <f>J10*J8</f>
        <v>211.35580388926874</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2744</v>
      </c>
      <c r="C26" s="36"/>
      <c r="D26" s="226"/>
    </row>
    <row r="27" spans="1:5" s="15" customFormat="1">
      <c r="A27" s="228" t="s">
        <v>701</v>
      </c>
      <c r="B27" s="37">
        <f>SUM(HH_hh_gas_aantal,HH_rest_gas_aantal)</f>
        <v>1186</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1126.7</v>
      </c>
      <c r="C31" s="34" t="s">
        <v>110</v>
      </c>
      <c r="D31" s="172"/>
    </row>
    <row r="32" spans="1:5">
      <c r="A32" s="169" t="s">
        <v>72</v>
      </c>
      <c r="B32" s="33">
        <f>IF((B21*($B$26-($B$27-0.05*$B$27)-$B$60))&lt;0,0,B21*($B$26-($B$27-0.05*$B$27)-$B$60))</f>
        <v>11.409242830565839</v>
      </c>
      <c r="C32" s="34" t="s">
        <v>110</v>
      </c>
      <c r="D32" s="172"/>
    </row>
    <row r="33" spans="1:6">
      <c r="A33" s="169" t="s">
        <v>73</v>
      </c>
      <c r="B33" s="33">
        <f>IF((B22*($B$26-($B$27-0.05*$B$27)-$B$60))&lt;0,0,B22*($B$26-($B$27-0.05*$B$27)-$B$60))</f>
        <v>326.98734724608084</v>
      </c>
      <c r="C33" s="34" t="s">
        <v>110</v>
      </c>
      <c r="D33" s="172"/>
    </row>
    <row r="34" spans="1:6">
      <c r="A34" s="169" t="s">
        <v>74</v>
      </c>
      <c r="B34" s="33">
        <f>IF((B24*($B$26-($B$27-0.05*$B$27)-$B$60))&lt;0,0,B24*($B$26-($B$27-0.05*$B$27)-$B$60))</f>
        <v>65.204732747497218</v>
      </c>
      <c r="C34" s="33">
        <f>B26*C24</f>
        <v>561.08657481911791</v>
      </c>
      <c r="D34" s="231"/>
    </row>
    <row r="35" spans="1:6">
      <c r="A35" s="169" t="s">
        <v>76</v>
      </c>
      <c r="B35" s="33">
        <f>IF((B19*($B$26-($B$27-0.05*$B$27)-$B$60))&lt;0,0,B19*($B$26-($B$27-0.05*$B$27)-$B$60))</f>
        <v>33.956079852874524</v>
      </c>
      <c r="C35" s="33">
        <f>B35/2</f>
        <v>16.978039926437262</v>
      </c>
      <c r="D35" s="231"/>
    </row>
    <row r="36" spans="1:6">
      <c r="A36" s="169" t="s">
        <v>77</v>
      </c>
      <c r="B36" s="33">
        <f>IF((B18*($B$26-($B$27-0.05*$B$27)-$B$60))&lt;0,0,B18*($B$26-($B$27-0.05*$B$27)-$B$60))</f>
        <v>1171.7425973229815</v>
      </c>
      <c r="C36" s="34" t="s">
        <v>110</v>
      </c>
      <c r="D36" s="172"/>
    </row>
    <row r="37" spans="1:6">
      <c r="A37" s="169" t="s">
        <v>78</v>
      </c>
      <c r="B37" s="33">
        <f>B60</f>
        <v>8</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17</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8</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5711.8764483559207</v>
      </c>
      <c r="C5" s="17">
        <f>IF(ISERROR('Eigen informatie GS &amp; warmtenet'!B58),0,'Eigen informatie GS &amp; warmtenet'!B58)</f>
        <v>0</v>
      </c>
      <c r="D5" s="30">
        <f>SUM(D6:D12)</f>
        <v>11341.989652216957</v>
      </c>
      <c r="E5" s="17">
        <f>SUM(E6:E12)</f>
        <v>139.68384263123983</v>
      </c>
      <c r="F5" s="17">
        <f>SUM(F6:F12)</f>
        <v>1103.8757303555833</v>
      </c>
      <c r="G5" s="18"/>
      <c r="H5" s="17"/>
      <c r="I5" s="17"/>
      <c r="J5" s="17">
        <f>SUM(J6:J12)</f>
        <v>0</v>
      </c>
      <c r="K5" s="17"/>
      <c r="L5" s="17"/>
      <c r="M5" s="17"/>
      <c r="N5" s="17">
        <f>SUM(N6:N12)</f>
        <v>220.19048144863322</v>
      </c>
      <c r="O5" s="17">
        <f>B38*B39*B40</f>
        <v>3.1266666666666669</v>
      </c>
      <c r="P5" s="17">
        <f>B46*B47*B48/1000-B46*B47*B48/1000/B49</f>
        <v>38.133333333333333</v>
      </c>
      <c r="R5" s="32"/>
    </row>
    <row r="6" spans="1:18">
      <c r="A6" s="32" t="s">
        <v>53</v>
      </c>
      <c r="B6" s="37">
        <f>B26</f>
        <v>614.4905476573839</v>
      </c>
      <c r="C6" s="33"/>
      <c r="D6" s="37">
        <f>IF(ISERROR(TER_kantoor_gas_kWh/1000),0,TER_kantoor_gas_kWh/1000)*0.902</f>
        <v>2215.0260899528448</v>
      </c>
      <c r="E6" s="33">
        <f>$C$26*'E Balans VL '!I12/100/3.6*1000000</f>
        <v>21.509586418132663</v>
      </c>
      <c r="F6" s="33">
        <f>$C$26*('E Balans VL '!L12+'E Balans VL '!N12)/100/3.6*1000000</f>
        <v>93.16996000763821</v>
      </c>
      <c r="G6" s="34"/>
      <c r="H6" s="33"/>
      <c r="I6" s="33"/>
      <c r="J6" s="33">
        <f>$C$26*('E Balans VL '!D12+'E Balans VL '!E12)/100/3.6*1000000</f>
        <v>0</v>
      </c>
      <c r="K6" s="33"/>
      <c r="L6" s="33"/>
      <c r="M6" s="33"/>
      <c r="N6" s="33">
        <f>$C$26*'E Balans VL '!Y12/100/3.6*1000000</f>
        <v>4.7498196031433251</v>
      </c>
      <c r="O6" s="33"/>
      <c r="P6" s="33"/>
      <c r="R6" s="32"/>
    </row>
    <row r="7" spans="1:18">
      <c r="A7" s="32" t="s">
        <v>52</v>
      </c>
      <c r="B7" s="37">
        <f t="shared" ref="B7:B12" si="0">B27</f>
        <v>778.57088988942394</v>
      </c>
      <c r="C7" s="33"/>
      <c r="D7" s="37">
        <f>IF(ISERROR(TER_horeca_gas_kWh/1000),0,TER_horeca_gas_kWh/1000)*0.902</f>
        <v>334.61766159532652</v>
      </c>
      <c r="E7" s="33">
        <f>$C$27*'E Balans VL '!I9/100/3.6*1000000</f>
        <v>43.921750661345015</v>
      </c>
      <c r="F7" s="33">
        <f>$C$27*('E Balans VL '!L9+'E Balans VL '!N9)/100/3.6*1000000</f>
        <v>135.63135768536296</v>
      </c>
      <c r="G7" s="34"/>
      <c r="H7" s="33"/>
      <c r="I7" s="33"/>
      <c r="J7" s="33">
        <f>$C$27*('E Balans VL '!D9+'E Balans VL '!E9)/100/3.6*1000000</f>
        <v>0</v>
      </c>
      <c r="K7" s="33"/>
      <c r="L7" s="33"/>
      <c r="M7" s="33"/>
      <c r="N7" s="33">
        <f>$C$27*'E Balans VL '!Y9/100/3.6*1000000</f>
        <v>0</v>
      </c>
      <c r="O7" s="33"/>
      <c r="P7" s="33"/>
      <c r="R7" s="32"/>
    </row>
    <row r="8" spans="1:18">
      <c r="A8" s="6" t="s">
        <v>51</v>
      </c>
      <c r="B8" s="37">
        <f t="shared" si="0"/>
        <v>587.31311719981602</v>
      </c>
      <c r="C8" s="33"/>
      <c r="D8" s="37">
        <f>IF(ISERROR(TER_handel_gas_kWh/1000),0,TER_handel_gas_kWh/1000)*0.902</f>
        <v>0</v>
      </c>
      <c r="E8" s="33">
        <f>$C$28*'E Balans VL '!I13/100/3.6*1000000</f>
        <v>3.0152058735565661</v>
      </c>
      <c r="F8" s="33">
        <f>$C$28*('E Balans VL '!L13+'E Balans VL '!N13)/100/3.6*1000000</f>
        <v>90.554607752969744</v>
      </c>
      <c r="G8" s="34"/>
      <c r="H8" s="33"/>
      <c r="I8" s="33"/>
      <c r="J8" s="33">
        <f>$C$28*('E Balans VL '!D13+'E Balans VL '!E13)/100/3.6*1000000</f>
        <v>0</v>
      </c>
      <c r="K8" s="33"/>
      <c r="L8" s="33"/>
      <c r="M8" s="33"/>
      <c r="N8" s="33">
        <f>$C$28*'E Balans VL '!Y13/100/3.6*1000000</f>
        <v>0.27469351403594</v>
      </c>
      <c r="O8" s="33"/>
      <c r="P8" s="33"/>
      <c r="R8" s="32"/>
    </row>
    <row r="9" spans="1:18">
      <c r="A9" s="32" t="s">
        <v>50</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49</v>
      </c>
      <c r="B10" s="37">
        <f t="shared" si="0"/>
        <v>543.64659618833298</v>
      </c>
      <c r="C10" s="33"/>
      <c r="D10" s="37">
        <f>IF(ISERROR(TER_ander_gas_kWh/1000),0,TER_ander_gas_kWh/1000)*0.902</f>
        <v>144.12697417974886</v>
      </c>
      <c r="E10" s="33">
        <f>$C$30*'E Balans VL '!I14/100/3.6*1000000</f>
        <v>3.3140830635920659</v>
      </c>
      <c r="F10" s="33">
        <f>$C$30*('E Balans VL '!L14+'E Balans VL '!N14)/100/3.6*1000000</f>
        <v>144.12815976313206</v>
      </c>
      <c r="G10" s="34"/>
      <c r="H10" s="33"/>
      <c r="I10" s="33"/>
      <c r="J10" s="33">
        <f>$C$30*('E Balans VL '!D14+'E Balans VL '!E14)/100/3.6*1000000</f>
        <v>0</v>
      </c>
      <c r="K10" s="33"/>
      <c r="L10" s="33"/>
      <c r="M10" s="33"/>
      <c r="N10" s="33">
        <f>$C$30*'E Balans VL '!Y14/100/3.6*1000000</f>
        <v>125.29879308312077</v>
      </c>
      <c r="O10" s="33"/>
      <c r="P10" s="33"/>
      <c r="R10" s="32"/>
    </row>
    <row r="11" spans="1:18">
      <c r="A11" s="32" t="s">
        <v>54</v>
      </c>
      <c r="B11" s="37">
        <f t="shared" si="0"/>
        <v>21.604401148464799</v>
      </c>
      <c r="C11" s="33"/>
      <c r="D11" s="37">
        <f>IF(ISERROR(TER_onderwijs_gas_kWh/1000),0,TER_onderwijs_gas_kWh/1000)*0.902</f>
        <v>135.0483806913802</v>
      </c>
      <c r="E11" s="33">
        <f>$C$31*'E Balans VL '!I11/100/3.6*1000000</f>
        <v>1.6463678628182359E-2</v>
      </c>
      <c r="F11" s="33">
        <f>$C$31*('E Balans VL '!L11+'E Balans VL '!N11)/100/3.6*1000000</f>
        <v>15.634128641474501</v>
      </c>
      <c r="G11" s="34"/>
      <c r="H11" s="33"/>
      <c r="I11" s="33"/>
      <c r="J11" s="33">
        <f>$C$31*('E Balans VL '!D11+'E Balans VL '!E11)/100/3.6*1000000</f>
        <v>0</v>
      </c>
      <c r="K11" s="33"/>
      <c r="L11" s="33"/>
      <c r="M11" s="33"/>
      <c r="N11" s="33">
        <f>$C$31*'E Balans VL '!Y11/100/3.6*1000000</f>
        <v>6.367333354231372E-2</v>
      </c>
      <c r="O11" s="33"/>
      <c r="P11" s="33"/>
      <c r="R11" s="32"/>
    </row>
    <row r="12" spans="1:18">
      <c r="A12" s="32" t="s">
        <v>255</v>
      </c>
      <c r="B12" s="37">
        <f t="shared" si="0"/>
        <v>3166.2508962725001</v>
      </c>
      <c r="C12" s="33"/>
      <c r="D12" s="37">
        <f>IF(ISERROR(TER_rest_gas_kWh/1000),0,TER_rest_gas_kWh/1000)*0.902</f>
        <v>8513.1705457976568</v>
      </c>
      <c r="E12" s="33">
        <f>$C$32*'E Balans VL '!I8/100/3.6*1000000</f>
        <v>67.90675293598531</v>
      </c>
      <c r="F12" s="33">
        <f>$C$32*('E Balans VL '!L8+'E Balans VL '!N8)/100/3.6*1000000</f>
        <v>624.75751650500581</v>
      </c>
      <c r="G12" s="34"/>
      <c r="H12" s="33"/>
      <c r="I12" s="33"/>
      <c r="J12" s="33">
        <f>$C$32*('E Balans VL '!D8+'E Balans VL '!E8)/100/3.6*1000000</f>
        <v>0</v>
      </c>
      <c r="K12" s="33"/>
      <c r="L12" s="33"/>
      <c r="M12" s="33"/>
      <c r="N12" s="33">
        <f>$C$32*'E Balans VL '!Y8/100/3.6*1000000</f>
        <v>89.803501914790871</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5711.8764483559207</v>
      </c>
      <c r="C16" s="21">
        <f ca="1">C5+C13+C14</f>
        <v>0</v>
      </c>
      <c r="D16" s="21">
        <f t="shared" ref="D16:N16" ca="1" si="1">MAX((D5+D13+D14),0)</f>
        <v>11341.989652216957</v>
      </c>
      <c r="E16" s="21">
        <f t="shared" si="1"/>
        <v>139.68384263123983</v>
      </c>
      <c r="F16" s="21">
        <f t="shared" ca="1" si="1"/>
        <v>1103.8757303555833</v>
      </c>
      <c r="G16" s="21">
        <f t="shared" si="1"/>
        <v>0</v>
      </c>
      <c r="H16" s="21">
        <f t="shared" si="1"/>
        <v>0</v>
      </c>
      <c r="I16" s="21">
        <f t="shared" si="1"/>
        <v>0</v>
      </c>
      <c r="J16" s="21">
        <f t="shared" si="1"/>
        <v>0</v>
      </c>
      <c r="K16" s="21">
        <f t="shared" si="1"/>
        <v>0</v>
      </c>
      <c r="L16" s="21">
        <f t="shared" ca="1" si="1"/>
        <v>0</v>
      </c>
      <c r="M16" s="21">
        <f t="shared" si="1"/>
        <v>0</v>
      </c>
      <c r="N16" s="21">
        <f t="shared" ca="1" si="1"/>
        <v>220.19048144863322</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0.21234553198011105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1212.8914430308052</v>
      </c>
      <c r="C20" s="23">
        <f t="shared" ref="C20:P20" ca="1" si="2">C16*C18</f>
        <v>0</v>
      </c>
      <c r="D20" s="23">
        <f t="shared" ca="1" si="2"/>
        <v>2291.0819097478252</v>
      </c>
      <c r="E20" s="23">
        <f t="shared" si="2"/>
        <v>31.70823227729144</v>
      </c>
      <c r="F20" s="23">
        <f t="shared" ca="1" si="2"/>
        <v>294.73482000494073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614.4905476573839</v>
      </c>
      <c r="C26" s="39">
        <f>IF(ISERROR(B26*3.6/1000000/'E Balans VL '!Z12*100),0,B26*3.6/1000000/'E Balans VL '!Z12*100)</f>
        <v>1.2930934519583147E-2</v>
      </c>
      <c r="D26" s="234" t="s">
        <v>706</v>
      </c>
      <c r="F26" s="6"/>
    </row>
    <row r="27" spans="1:18">
      <c r="A27" s="229" t="s">
        <v>52</v>
      </c>
      <c r="B27" s="33">
        <f>IF(ISERROR(TER_horeca_ele_kWh/1000),0,TER_horeca_ele_kWh/1000)</f>
        <v>778.57088988942394</v>
      </c>
      <c r="C27" s="39">
        <f>IF(ISERROR(B27*3.6/1000000/'E Balans VL '!Z9*100),0,B27*3.6/1000000/'E Balans VL '!Z9*100)</f>
        <v>6.5919409482997002E-2</v>
      </c>
      <c r="D27" s="234" t="s">
        <v>706</v>
      </c>
      <c r="F27" s="6"/>
    </row>
    <row r="28" spans="1:18">
      <c r="A28" s="169" t="s">
        <v>51</v>
      </c>
      <c r="B28" s="33">
        <f>IF(ISERROR(TER_handel_ele_kWh/1000),0,TER_handel_ele_kWh/1000)</f>
        <v>587.31311719981602</v>
      </c>
      <c r="C28" s="39">
        <f>IF(ISERROR(B28*3.6/1000000/'E Balans VL '!Z13*100),0,B28*3.6/1000000/'E Balans VL '!Z13*100)</f>
        <v>1.6259682436579527E-2</v>
      </c>
      <c r="D28" s="234" t="s">
        <v>706</v>
      </c>
      <c r="F28" s="6"/>
    </row>
    <row r="29" spans="1:18">
      <c r="A29" s="229" t="s">
        <v>50</v>
      </c>
      <c r="B29" s="33">
        <f>IF(ISERROR(TER_gezond_ele_kWh/1000),0,TER_gezond_ele_kWh/1000)</f>
        <v>0</v>
      </c>
      <c r="C29" s="39">
        <f>IF(ISERROR(B29*3.6/1000000/'E Balans VL '!Z10*100),0,B29*3.6/1000000/'E Balans VL '!Z10*100)</f>
        <v>0</v>
      </c>
      <c r="D29" s="234" t="s">
        <v>706</v>
      </c>
      <c r="F29" s="6"/>
    </row>
    <row r="30" spans="1:18">
      <c r="A30" s="229" t="s">
        <v>49</v>
      </c>
      <c r="B30" s="33">
        <f>IF(ISERROR(TER_ander_ele_kWh/1000),0,TER_ander_ele_kWh/1000)</f>
        <v>543.64659618833298</v>
      </c>
      <c r="C30" s="39">
        <f>IF(ISERROR(B30*3.6/1000000/'E Balans VL '!Z14*100),0,B30*3.6/1000000/'E Balans VL '!Z14*100)</f>
        <v>4.2137596824739457E-2</v>
      </c>
      <c r="D30" s="234" t="s">
        <v>706</v>
      </c>
      <c r="F30" s="6"/>
    </row>
    <row r="31" spans="1:18">
      <c r="A31" s="229" t="s">
        <v>54</v>
      </c>
      <c r="B31" s="33">
        <f>IF(ISERROR(TER_onderwijs_ele_kWh/1000),0,TER_onderwijs_ele_kWh/1000)</f>
        <v>21.604401148464799</v>
      </c>
      <c r="C31" s="39">
        <f>IF(ISERROR(B31*3.6/1000000/'E Balans VL '!Z11*100),0,B31*3.6/1000000/'E Balans VL '!Z11*100)</f>
        <v>4.1332900709064408E-3</v>
      </c>
      <c r="D31" s="234" t="s">
        <v>706</v>
      </c>
    </row>
    <row r="32" spans="1:18">
      <c r="A32" s="229" t="s">
        <v>255</v>
      </c>
      <c r="B32" s="33">
        <f>IF(ISERROR(TER_rest_ele_kWh/1000),0,TER_rest_ele_kWh/1000)</f>
        <v>3166.2508962725001</v>
      </c>
      <c r="C32" s="39">
        <f>IF(ISERROR(B32*3.6/1000000/'E Balans VL '!Z8*100),0,B32*3.6/1000000/'E Balans VL '!Z8*100)</f>
        <v>2.6108170053107151E-2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2</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2</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1982.3262035140795</v>
      </c>
      <c r="C5" s="17">
        <f>IF(ISERROR('Eigen informatie GS &amp; warmtenet'!B59),0,'Eigen informatie GS &amp; warmtenet'!B59)</f>
        <v>0</v>
      </c>
      <c r="D5" s="30">
        <f>SUM(D6:D15)</f>
        <v>527.10774998846864</v>
      </c>
      <c r="E5" s="17">
        <f>SUM(E6:E15)</f>
        <v>19.610348360462073</v>
      </c>
      <c r="F5" s="17">
        <f>SUM(F6:F15)</f>
        <v>632.99750861807092</v>
      </c>
      <c r="G5" s="18"/>
      <c r="H5" s="17"/>
      <c r="I5" s="17"/>
      <c r="J5" s="17">
        <f>SUM(J6:J15)</f>
        <v>7.3898536806789457</v>
      </c>
      <c r="K5" s="17"/>
      <c r="L5" s="17"/>
      <c r="M5" s="17"/>
      <c r="N5" s="17">
        <f>SUM(N6:N15)</f>
        <v>60.697641137294085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517.35472363726603</v>
      </c>
      <c r="C9" s="33"/>
      <c r="D9" s="37">
        <f>IF( ISERROR(IND_andere_gas_kWh/1000),0,IND_andere_gas_kWh/1000)*0.902</f>
        <v>148.65698435030106</v>
      </c>
      <c r="E9" s="33">
        <f>C31*'E Balans VL '!I19/100/3.6*1000000</f>
        <v>8.6896063632598022</v>
      </c>
      <c r="F9" s="33">
        <f>C31*'E Balans VL '!L19/100/3.6*1000000+C31*'E Balans VL '!N19/100/3.6*1000000</f>
        <v>404.43845661473529</v>
      </c>
      <c r="G9" s="34"/>
      <c r="H9" s="33"/>
      <c r="I9" s="33"/>
      <c r="J9" s="40">
        <f>C31*'E Balans VL '!D19/100/3.6*1000000+C31*'E Balans VL '!E19/100/3.6*1000000</f>
        <v>4.6660829182798923E-2</v>
      </c>
      <c r="K9" s="33"/>
      <c r="L9" s="33"/>
      <c r="M9" s="33"/>
      <c r="N9" s="33">
        <f>C31*'E Balans VL '!Y19/100/3.6*1000000</f>
        <v>38.344285247332969</v>
      </c>
      <c r="O9" s="33"/>
      <c r="P9" s="33"/>
      <c r="R9" s="32"/>
    </row>
    <row r="10" spans="1:18">
      <c r="A10" s="6" t="s">
        <v>40</v>
      </c>
      <c r="B10" s="37">
        <f t="shared" si="0"/>
        <v>82.669168864484391</v>
      </c>
      <c r="C10" s="33"/>
      <c r="D10" s="37">
        <f>IF( ISERROR(IND_voed_gas_kWh/1000),0,IND_voed_gas_kWh/1000)*0.902</f>
        <v>0</v>
      </c>
      <c r="E10" s="33">
        <f>C32*'E Balans VL '!I20/100/3.6*1000000</f>
        <v>0.75423914354808563</v>
      </c>
      <c r="F10" s="33">
        <f>C32*'E Balans VL '!L20/100/3.6*1000000+C32*'E Balans VL '!N20/100/3.6*1000000</f>
        <v>13.337122678120625</v>
      </c>
      <c r="G10" s="34"/>
      <c r="H10" s="33"/>
      <c r="I10" s="33"/>
      <c r="J10" s="40">
        <f>C32*'E Balans VL '!D20/100/3.6*1000000+C32*'E Balans VL '!E20/100/3.6*1000000</f>
        <v>0.34048583791463533</v>
      </c>
      <c r="K10" s="33"/>
      <c r="L10" s="33"/>
      <c r="M10" s="33"/>
      <c r="N10" s="33">
        <f>C32*'E Balans VL '!Y20/100/3.6*1000000</f>
        <v>1.209384754018229</v>
      </c>
      <c r="O10" s="33"/>
      <c r="P10" s="33"/>
      <c r="R10" s="32"/>
    </row>
    <row r="11" spans="1:18">
      <c r="A11" s="6" t="s">
        <v>39</v>
      </c>
      <c r="B11" s="37">
        <f t="shared" si="0"/>
        <v>342.29923650073903</v>
      </c>
      <c r="C11" s="33"/>
      <c r="D11" s="37">
        <f>IF( ISERROR(IND_textiel_gas_kWh/1000),0,IND_textiel_gas_kWh/1000)*0.902</f>
        <v>0</v>
      </c>
      <c r="E11" s="33">
        <f>C33*'E Balans VL '!I21/100/3.6*1000000</f>
        <v>0.78072106466450697</v>
      </c>
      <c r="F11" s="33">
        <f>C33*'E Balans VL '!L21/100/3.6*1000000+C33*'E Balans VL '!N21/100/3.6*1000000</f>
        <v>7.3169636613148539</v>
      </c>
      <c r="G11" s="34"/>
      <c r="H11" s="33"/>
      <c r="I11" s="33"/>
      <c r="J11" s="40">
        <f>C33*'E Balans VL '!D21/100/3.6*1000000+C33*'E Balans VL '!E21/100/3.6*1000000</f>
        <v>0</v>
      </c>
      <c r="K11" s="33"/>
      <c r="L11" s="33"/>
      <c r="M11" s="33"/>
      <c r="N11" s="33">
        <f>C33*'E Balans VL '!Y21/100/3.6*1000000</f>
        <v>2.4282246043017084</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1040.0030745115901</v>
      </c>
      <c r="C15" s="33"/>
      <c r="D15" s="37">
        <f>IF( ISERROR(IND_rest_gas_kWh/1000),0,IND_rest_gas_kWh/1000)*0.902</f>
        <v>378.45076563816764</v>
      </c>
      <c r="E15" s="33">
        <f>C37*'E Balans VL '!I15/100/3.6*1000000</f>
        <v>9.3857817889896786</v>
      </c>
      <c r="F15" s="33">
        <f>C37*'E Balans VL '!L15/100/3.6*1000000+C37*'E Balans VL '!N15/100/3.6*1000000</f>
        <v>207.90496566390021</v>
      </c>
      <c r="G15" s="34"/>
      <c r="H15" s="33"/>
      <c r="I15" s="33"/>
      <c r="J15" s="40">
        <f>C37*'E Balans VL '!D15/100/3.6*1000000+C37*'E Balans VL '!E15/100/3.6*1000000</f>
        <v>7.002707013581511</v>
      </c>
      <c r="K15" s="33"/>
      <c r="L15" s="33"/>
      <c r="M15" s="33"/>
      <c r="N15" s="33">
        <f>C37*'E Balans VL '!Y15/100/3.6*1000000</f>
        <v>18.715746531641177</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1982.3262035140795</v>
      </c>
      <c r="C18" s="21">
        <f>C5+C16</f>
        <v>0</v>
      </c>
      <c r="D18" s="21">
        <f>MAX((D5+D16),0)</f>
        <v>527.10774998846864</v>
      </c>
      <c r="E18" s="21">
        <f>MAX((E5+E16),0)</f>
        <v>19.610348360462073</v>
      </c>
      <c r="F18" s="21">
        <f>MAX((F5+F16),0)</f>
        <v>632.99750861807092</v>
      </c>
      <c r="G18" s="21"/>
      <c r="H18" s="21"/>
      <c r="I18" s="21"/>
      <c r="J18" s="21">
        <f>MAX((J5+J16),0)</f>
        <v>7.3898536806789457</v>
      </c>
      <c r="K18" s="21"/>
      <c r="L18" s="21">
        <f>MAX((L5+L16),0)</f>
        <v>0</v>
      </c>
      <c r="M18" s="21"/>
      <c r="N18" s="21">
        <f>MAX((N5+N16),0)</f>
        <v>60.697641137294085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0.21234553198011105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420.93811224331108</v>
      </c>
      <c r="C22" s="23">
        <f ca="1">C18*C20</f>
        <v>0</v>
      </c>
      <c r="D22" s="23">
        <f>D18*D20</f>
        <v>106.47576549767068</v>
      </c>
      <c r="E22" s="23">
        <f>E18*E20</f>
        <v>4.4515490778248905</v>
      </c>
      <c r="F22" s="23">
        <f>F18*F20</f>
        <v>169.01033480102495</v>
      </c>
      <c r="G22" s="23"/>
      <c r="H22" s="23"/>
      <c r="I22" s="23"/>
      <c r="J22" s="23">
        <f>J18*J20</f>
        <v>2.6160082029603466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0</v>
      </c>
      <c r="C30" s="39">
        <f>IF(ISERROR(B30*3.6/1000000/'E Balans VL '!Z18*100),0,B30*3.6/1000000/'E Balans VL '!Z18*100)</f>
        <v>0</v>
      </c>
      <c r="D30" s="234" t="s">
        <v>706</v>
      </c>
    </row>
    <row r="31" spans="1:18">
      <c r="A31" s="6" t="s">
        <v>32</v>
      </c>
      <c r="B31" s="37">
        <f>IF( ISERROR(IND_ander_ele_kWh/1000),0,IND_ander_ele_kWh/1000)</f>
        <v>517.35472363726603</v>
      </c>
      <c r="C31" s="39">
        <f>IF(ISERROR(B31*3.6/1000000/'E Balans VL '!Z19*100),0,B31*3.6/1000000/'E Balans VL '!Z19*100)</f>
        <v>2.2932284649566707E-2</v>
      </c>
      <c r="D31" s="234" t="s">
        <v>706</v>
      </c>
    </row>
    <row r="32" spans="1:18">
      <c r="A32" s="169" t="s">
        <v>40</v>
      </c>
      <c r="B32" s="37">
        <f>IF( ISERROR(IND_voed_ele_kWh/1000),0,IND_voed_ele_kWh/1000)</f>
        <v>82.669168864484391</v>
      </c>
      <c r="C32" s="39">
        <f>IF(ISERROR(B32*3.6/1000000/'E Balans VL '!Z20*100),0,B32*3.6/1000000/'E Balans VL '!Z20*100)</f>
        <v>2.7613873872264112E-3</v>
      </c>
      <c r="D32" s="234" t="s">
        <v>706</v>
      </c>
    </row>
    <row r="33" spans="1:5">
      <c r="A33" s="169" t="s">
        <v>39</v>
      </c>
      <c r="B33" s="37">
        <f>IF( ISERROR(IND_textiel_ele_kWh/1000),0,IND_textiel_ele_kWh/1000)</f>
        <v>342.29923650073903</v>
      </c>
      <c r="C33" s="39">
        <f>IF(ISERROR(B33*3.6/1000000/'E Balans VL '!Z21*100),0,B33*3.6/1000000/'E Balans VL '!Z21*100)</f>
        <v>4.5064483841046242E-2</v>
      </c>
      <c r="D33" s="234" t="s">
        <v>706</v>
      </c>
    </row>
    <row r="34" spans="1:5">
      <c r="A34" s="169" t="s">
        <v>36</v>
      </c>
      <c r="B34" s="37">
        <f>IF( ISERROR(IND_min_ele_kWh/1000),0,IND_min_ele_kWh/1000)</f>
        <v>0</v>
      </c>
      <c r="C34" s="39">
        <f>IF(ISERROR(B34*3.6/1000000/'E Balans VL '!Z22*100),0,B34*3.6/1000000/'E Balans VL '!Z22*100)</f>
        <v>0</v>
      </c>
      <c r="D34" s="234" t="s">
        <v>706</v>
      </c>
    </row>
    <row r="35" spans="1:5">
      <c r="A35" s="169" t="s">
        <v>38</v>
      </c>
      <c r="B35" s="37">
        <f>IF( ISERROR(IND_papier_ele_kWh/1000),0,IND_papier_ele_kWh/1000)</f>
        <v>0</v>
      </c>
      <c r="C35" s="39">
        <f>IF(ISERROR(B35*3.6/1000000/'E Balans VL '!Z22*100),0,B35*3.6/1000000/'E Balans VL '!Z22*100)</f>
        <v>0</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1040.0030745115901</v>
      </c>
      <c r="C37" s="39">
        <f>IF(ISERROR(B37*3.6/1000000/'E Balans VL '!Z15*100),0,B37*3.6/1000000/'E Balans VL '!Z15*100)</f>
        <v>7.735928564427859E-3</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4639.3002786991801</v>
      </c>
      <c r="C5" s="17">
        <f>'Eigen informatie GS &amp; warmtenet'!B60</f>
        <v>0</v>
      </c>
      <c r="D5" s="30">
        <f>IF(ISERROR(SUM(LB_lb_gas_kWh,LB_rest_gas_kWh)/1000),0,SUM(LB_lb_gas_kWh,LB_rest_gas_kWh)/1000)*0.902</f>
        <v>373.70910262170975</v>
      </c>
      <c r="E5" s="17">
        <f>B17*'E Balans VL '!I25/3.6*1000000/100</f>
        <v>48.583756886090285</v>
      </c>
      <c r="F5" s="17">
        <f>B17*('E Balans VL '!L25/3.6*1000000+'E Balans VL '!N25/3.6*1000000)/100</f>
        <v>19859.730312381867</v>
      </c>
      <c r="G5" s="18"/>
      <c r="H5" s="17"/>
      <c r="I5" s="17"/>
      <c r="J5" s="17">
        <f>('E Balans VL '!D25+'E Balans VL '!E25)/3.6*1000000*landbouw!B17/100</f>
        <v>414.33109764562249</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4639.3002786991801</v>
      </c>
      <c r="C8" s="21">
        <f>C5+C6</f>
        <v>0</v>
      </c>
      <c r="D8" s="21">
        <f>MAX((D5+D6),0)</f>
        <v>373.70910262170975</v>
      </c>
      <c r="E8" s="21">
        <f>MAX((E5+E6),0)</f>
        <v>48.583756886090285</v>
      </c>
      <c r="F8" s="21">
        <f>MAX((F5+F6),0)</f>
        <v>19859.730312381867</v>
      </c>
      <c r="G8" s="21"/>
      <c r="H8" s="21"/>
      <c r="I8" s="21"/>
      <c r="J8" s="21">
        <f>MAX((J5+J6),0)</f>
        <v>414.33109764562249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0.21234553198011105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985.13468569585484</v>
      </c>
      <c r="C12" s="23">
        <f ca="1">C8*C10</f>
        <v>0</v>
      </c>
      <c r="D12" s="23">
        <f>D8*D10</f>
        <v>75.489238729585367</v>
      </c>
      <c r="E12" s="23">
        <f>E8*E10</f>
        <v>11.028512813142495</v>
      </c>
      <c r="F12" s="23">
        <f>F8*F10</f>
        <v>5302.5479934059586</v>
      </c>
      <c r="G12" s="23"/>
      <c r="H12" s="23"/>
      <c r="I12" s="23"/>
      <c r="J12" s="23">
        <f>J8*J10</f>
        <v>146.67320856655036</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0.71407786793681516</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734.82837692116721</v>
      </c>
      <c r="C26" s="244">
        <f>B26*'GWP N2O_CH4'!B5</f>
        <v>15431.395915344512</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326.95445600309671</v>
      </c>
      <c r="C27" s="244">
        <f>B27*'GWP N2O_CH4'!B5</f>
        <v>6866.0435760650307</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12.440689066007488</v>
      </c>
      <c r="C28" s="244">
        <f>B28*'GWP N2O_CH4'!B4</f>
        <v>3856.6136104623215</v>
      </c>
      <c r="D28" s="50"/>
    </row>
    <row r="29" spans="1:4">
      <c r="A29" s="41" t="s">
        <v>272</v>
      </c>
      <c r="B29" s="244">
        <f>B34*'ha_N2O bodem landbouw'!B4</f>
        <v>54.576180310996385</v>
      </c>
      <c r="C29" s="244">
        <f>B29*'GWP N2O_CH4'!B4</f>
        <v>16918.615896408879</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9.0194305833933043E-3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1.4731833099790871E-6</v>
      </c>
      <c r="C5" s="435" t="s">
        <v>210</v>
      </c>
      <c r="D5" s="420">
        <f>SUM(D6:D11)</f>
        <v>5.8679609619656435E-6</v>
      </c>
      <c r="E5" s="420">
        <f>SUM(E6:E11)</f>
        <v>5.9030477304403616E-4</v>
      </c>
      <c r="F5" s="433" t="s">
        <v>210</v>
      </c>
      <c r="G5" s="420">
        <f>SUM(G6:G11)</f>
        <v>0.12133230299182392</v>
      </c>
      <c r="H5" s="420">
        <f>SUM(H6:H11)</f>
        <v>1.8886453716282576E-2</v>
      </c>
      <c r="I5" s="435" t="s">
        <v>210</v>
      </c>
      <c r="J5" s="435" t="s">
        <v>210</v>
      </c>
      <c r="K5" s="435" t="s">
        <v>210</v>
      </c>
      <c r="L5" s="435" t="s">
        <v>210</v>
      </c>
      <c r="M5" s="420">
        <f>SUM(M6:M11)</f>
        <v>6.0961458796286545E-3</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7.1233791562685186E-7</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2.2554192486024047E-6</v>
      </c>
      <c r="E6" s="423">
        <f>vkm_GW_PW*SUMIFS(TableVerdeelsleutelVkm[LPG],TableVerdeelsleutelVkm[Voertuigtype],"Lichte voertuigen")*SUMIFS(TableECFTransport[EnergieConsumptieFactor (PJ per km)],TableECFTransport[Index],CONCATENATE($A6,"_LPG_LPG"))</f>
        <v>2.3503429799328449E-4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3.1306627084983954E-2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7.5103922386200381E-3</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1.6943300895981724E-3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6.1373754046484161E-8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2.7665886746875052E-2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7.4905336689368232E-7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1.1918579055776406E-3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6.7135728871697973E-7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3.6125417133632388E-6</v>
      </c>
      <c r="E8" s="423">
        <f>vkm_NGW_PW*SUMIFS(TableVerdeelsleutelVkm[LPG],TableVerdeelsleutelVkm[Voertuigtype],"Lichte voertuigen")*SUMIFS(TableECFTransport[EnergieConsumptieFactor (PJ per km)],TableECFTransport[Index],CONCATENATE($A8,"_LPG_LPG"))</f>
        <v>3.5527047505075164E-4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4.480526773437557E-2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1.1374898258156248E-2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2.4537046147600477E-3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2.8114351588771472E-8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1.7554521425589345E-2</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4.1416613939394442E-7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7.562532696927934E-4</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0.40921758610530201</v>
      </c>
      <c r="C14" s="21"/>
      <c r="D14" s="21">
        <f t="shared" ref="D14:M14" si="0">((D5)*10^9/3600)+D12</f>
        <v>1.6299891561015678</v>
      </c>
      <c r="E14" s="21">
        <f t="shared" si="0"/>
        <v>163.97354806778782</v>
      </c>
      <c r="F14" s="21"/>
      <c r="G14" s="21">
        <f t="shared" si="0"/>
        <v>33703.417497728864</v>
      </c>
      <c r="H14" s="21">
        <f t="shared" si="0"/>
        <v>5246.2371434118268</v>
      </c>
      <c r="I14" s="21"/>
      <c r="J14" s="21"/>
      <c r="K14" s="21"/>
      <c r="L14" s="21"/>
      <c r="M14" s="21">
        <f t="shared" si="0"/>
        <v>1693.3738554524041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0.21234553198011105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8.6895526017147257E-2</v>
      </c>
      <c r="C18" s="23"/>
      <c r="D18" s="23">
        <f t="shared" ref="D18:M18" si="1">D14*D16</f>
        <v>0.32925780953251671</v>
      </c>
      <c r="E18" s="23">
        <f t="shared" si="1"/>
        <v>37.221995411387837</v>
      </c>
      <c r="F18" s="23"/>
      <c r="G18" s="23">
        <f t="shared" si="1"/>
        <v>8998.8124718936069</v>
      </c>
      <c r="H18" s="23">
        <f t="shared" si="1"/>
        <v>1306.3130487095448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3.9344384395811054E-6</v>
      </c>
      <c r="C50" s="315">
        <f t="shared" ref="C50:P50" si="2">SUM(C51:C52)</f>
        <v>0</v>
      </c>
      <c r="D50" s="315">
        <f t="shared" si="2"/>
        <v>0</v>
      </c>
      <c r="E50" s="315">
        <f t="shared" si="2"/>
        <v>0</v>
      </c>
      <c r="F50" s="315">
        <f t="shared" si="2"/>
        <v>0</v>
      </c>
      <c r="G50" s="315">
        <f t="shared" si="2"/>
        <v>8.5353691826248385E-4</v>
      </c>
      <c r="H50" s="315">
        <f t="shared" si="2"/>
        <v>0</v>
      </c>
      <c r="I50" s="315">
        <f t="shared" si="2"/>
        <v>0</v>
      </c>
      <c r="J50" s="315">
        <f t="shared" si="2"/>
        <v>0</v>
      </c>
      <c r="K50" s="315">
        <f t="shared" si="2"/>
        <v>0</v>
      </c>
      <c r="L50" s="315">
        <f t="shared" si="2"/>
        <v>0</v>
      </c>
      <c r="M50" s="315">
        <f t="shared" si="2"/>
        <v>3.6545172192142154E-5</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3.9344384395811054E-6</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8.5353691826248385E-4</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3.6545172192142154E-5</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1.092899566550307</v>
      </c>
      <c r="C54" s="21">
        <f t="shared" ref="C54:P54" si="3">(C50)*10^9/3600</f>
        <v>0</v>
      </c>
      <c r="D54" s="21">
        <f t="shared" si="3"/>
        <v>0</v>
      </c>
      <c r="E54" s="21">
        <f t="shared" si="3"/>
        <v>0</v>
      </c>
      <c r="F54" s="21">
        <f t="shared" si="3"/>
        <v>0</v>
      </c>
      <c r="G54" s="21">
        <f t="shared" si="3"/>
        <v>237.09358840624552</v>
      </c>
      <c r="H54" s="21">
        <f t="shared" si="3"/>
        <v>0</v>
      </c>
      <c r="I54" s="21">
        <f t="shared" si="3"/>
        <v>0</v>
      </c>
      <c r="J54" s="21">
        <f t="shared" si="3"/>
        <v>0</v>
      </c>
      <c r="K54" s="21">
        <f t="shared" si="3"/>
        <v>0</v>
      </c>
      <c r="L54" s="21">
        <f t="shared" si="3"/>
        <v>0</v>
      </c>
      <c r="M54" s="21">
        <f t="shared" si="3"/>
        <v>10.151436720039488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0.21234553198011105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0.2320723398599577</v>
      </c>
      <c r="C58" s="23">
        <f t="shared" ref="C58:P58" ca="1" si="4">C54*C56</f>
        <v>0</v>
      </c>
      <c r="D58" s="23">
        <f t="shared" si="4"/>
        <v>0</v>
      </c>
      <c r="E58" s="23">
        <f t="shared" si="4"/>
        <v>0</v>
      </c>
      <c r="F58" s="23">
        <f t="shared" si="4"/>
        <v>0</v>
      </c>
      <c r="G58" s="23">
        <f t="shared" si="4"/>
        <v>63.303988104467557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1085.3489210094162</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0</v>
      </c>
      <c r="C8" s="546">
        <f>B48</f>
        <v>0</v>
      </c>
      <c r="D8" s="965"/>
      <c r="E8" s="965">
        <f>E48</f>
        <v>0</v>
      </c>
      <c r="F8" s="966"/>
      <c r="G8" s="547"/>
      <c r="H8" s="965">
        <f>I48</f>
        <v>0</v>
      </c>
      <c r="I8" s="965">
        <f>G48+F48</f>
        <v>0</v>
      </c>
      <c r="J8" s="965">
        <f>H48+D48+C48</f>
        <v>0</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1085.3489210094162</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2021-06-29T17:02:30Z</dcterms:modified>
</cp:coreProperties>
</file>