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I9" i="18"/>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C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<sst xmlns="http://schemas.openxmlformats.org/spreadsheetml/2006/main" count="2599" uniqueCount="993">
  <si>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</si>
  <si>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</si>
  <si>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</si>
  <si>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</si>
  <si>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</si>
  <si>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</si>
  <si>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</si>
  <si>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</si>
  <si>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</si>
  <si>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</si>
  <si>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</si>
  <si>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</si>
  <si>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</si>
  <si>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</si>
  <si>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</si>
  <si>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</si>
  <si>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</si>
  <si>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</si>
  <si>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</si>
  <si>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</si>
  <si>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</si>
  <si>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</si>
  <si>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</si>
  <si>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</si>
  <si>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</si>
  <si>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</si>
  <si>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</si>
  <si>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</si>
  <si>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</si>
  <si>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</si>
  <si>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</si>
  <si>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</si>
  <si>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</si>
  <si>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</si>
  <si>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</si>
  <si>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</si>
  <si>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</si>
  <si>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</si>
  <si>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</si>
  <si>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</si>
  <si>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</si>
  <si>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</si>
  <si>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</si>
  <si>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</si>
  <si>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</si>
  <si>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</si>
  <si>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</si>
  <si>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</si>
  <si>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</si>
  <si>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</si>
  <si>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</si>
  <si>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</si>
  <si>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</si>
  <si>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</si>
  <si>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</si>
  <si>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</si>
  <si>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</si>
  <si>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</si>
  <si>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</si>
  <si>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</si>
  <si>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</si>
  <si>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</si>
  <si>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</si>
  <si>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</si>
  <si>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</si>
  <si>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</si>
  <si>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</si>
  <si>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</si>
  <si>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</si>
  <si>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</si>
  <si>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</si>
  <si>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</si>
  <si>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</si>
  <si>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</si>
  <si>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</si>
  <si>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</si>
  <si>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</si>
  <si>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</si>
  <si>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</si>
  <si>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</si>
  <si>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</si>
  <si>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</si>
  <si>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</si>
  <si>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</si>
  <si>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</si>
  <si>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</si>
  <si>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</si>
  <si>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</si>
  <si>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</si>
  <si>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</si>
  <si>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</si>
  <si>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</si>
  <si>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</si>
  <si>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</si>
  <si>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</si>
  <si>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</si>
  <si>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</si>
  <si>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</si>
  <si>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</si>
  <si>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</si>
  <si>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</si>
  <si>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</si>
  <si>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</si>
  <si>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</si>
  <si>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</si>
  <si>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</si>
  <si>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</si>
  <si>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</si>
  <si>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</si>
  <si>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</si>
  <si>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</si>
  <si>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</si>
  <si>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</si>
  <si>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</si>
  <si>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</si>
  <si>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</si>
  <si>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</si>
  <si>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</si>
  <si>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</si>
  <si>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</si>
  <si>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</si>
  <si>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</si>
  <si>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</si>
  <si>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</si>
  <si>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</si>
  <si>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</si>
  <si>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</si>
  <si>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</si>
  <si>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</si>
  <si>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</si>
  <si>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</si>
  <si>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</si>
  <si>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</si>
  <si>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</si>
  <si>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</si>
  <si>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</si>
  <si>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</si>
  <si>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</si>
  <si>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</si>
  <si>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</si>
  <si>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</si>
  <si>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</si>
  <si>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</si>
  <si>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</si>
  <si>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</si>
  <si>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</si>
  <si>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</si>
  <si>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</si>
  <si>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</si>
  <si>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</si>
  <si>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</si>
  <si>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</si>
  <si>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</si>
  <si>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</si>
  <si>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</si>
  <si>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</si>
  <si>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</si>
  <si>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</si>
  <si>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</si>
  <si>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</si>
  <si>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</si>
  <si>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</si>
  <si>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</si>
  <si>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</si>
  <si>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</si>
  <si>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</si>
  <si>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</si>
  <si>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</si>
  <si>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</si>
  <si>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</si>
  <si>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</si>
  <si>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</si>
  <si>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</si>
  <si>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</si>
  <si>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</si>
  <si>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</si>
  <si>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</si>
  <si>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</si>
  <si>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</si>
  <si>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</si>
  <si>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</si>
  <si>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</si>
  <si>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</si>
  <si>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</si>
  <si>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</si>
  <si>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</si>
  <si>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</si>
  <si>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</si>
  <si>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</si>
  <si>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</si>
  <si>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</si>
  <si>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</si>
  <si>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</si>
  <si>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</si>
  <si>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</si>
  <si>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</si>
  <si>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</si>
  <si>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</si>
  <si>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</si>
  <si>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</si>
  <si>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</si>
  <si>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</si>
  <si>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</si>
  <si>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</si>
  <si>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</si>
  <si>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</si>
  <si>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</si>
  <si>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</si>
  <si>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</si>
  <si>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</si>
  <si>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</si>
  <si>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</si>
  <si>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</si>
  <si>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</si>
  <si>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</si>
  <si>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</si>
  <si>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</si>
  <si>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</si>
  <si>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</si>
  <si>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</si>
  <si>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</si>
  <si>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</si>
  <si>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</si>
  <si>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</si>
  <si>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</si>
  <si>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</si>
  <si>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</si>
  <si>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</si>
  <si>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</si>
  <si>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</si>
  <si>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</si>
  <si>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</si>
  <si>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</si>
  <si>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</si>
  <si>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</si>
  <si>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</si>
  <si>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</si>
  <si>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</si>
  <si>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</si>
  <si>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</si>
  <si>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</si>
  <si>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</si>
  <si>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</si>
  <si>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</si>
  <si>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</si>
  <si>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</si>
  <si>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</si>
  <si>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</si>
  <si>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</si>
  <si>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</si>
  <si>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</si>
  <si>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</si>
  <si>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</si>
  <si>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</si>
  <si>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</si>
  <si>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</si>
  <si>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</si>
  <si>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</si>
  <si>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</si>
  <si>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</si>
  <si>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</si>
  <si>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</si>
  <si>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</si>
  <si>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</si>
  <si>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</si>
  <si>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</si>
  <si>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</si>
  <si>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</si>
  <si>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</si>
  <si>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</si>
  <si>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</si>
  <si>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</si>
  <si>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</si>
  <si>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</si>
  <si>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</si>
  <si>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</si>
  <si>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</si>
  <si>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</si>
  <si>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</si>
  <si>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</si>
  <si>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</si>
  <si>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</si>
  <si>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</si>
  <si>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</si>
  <si>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</si>
  <si>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</si>
  <si>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</si>
  <si>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</si>
  <si>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</si>
  <si>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</si>
  <si>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</si>
  <si>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</si>
  <si>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</si>
  <si>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</si>
  <si>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</si>
  <si>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</si>
  <si>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</si>
  <si>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</si>
  <si>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</si>
  <si>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</si>
  <si>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</si>
  <si>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</si>
  <si>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</si>
  <si>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</si>
  <si>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</si>
  <si>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</si>
  <si>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</si>
  <si>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</si>
  <si>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</si>
  <si>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</si>
  <si>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</si>
  <si>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</si>
  <si>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</si>
  <si>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</si>
  <si>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</si>
  <si>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</si>
  <si>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</si>
  <si>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</si>
  <si>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</si>
  <si>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</si>
  <si>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</si>
  <si>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</si>
  <si>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</si>
  <si>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</si>
  <si>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</si>
  <si>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</si>
  <si>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</si>
  <si>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</si>
  <si>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</si>
  <si>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</si>
  <si>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</si>
  <si>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</si>
  <si>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</si>
  <si>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</si>
  <si>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</si>
  <si>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</si>
  <si>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</si>
  <si>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</si>
  <si>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</si>
  <si>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</si>
  <si>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</si>
  <si>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</si>
  <si>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</si>
  <si>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</si>
  <si>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</si>
  <si>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</si>
  <si>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</si>
  <si>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</si>
  <si>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</si>
  <si>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</si>
  <si>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</si>
  <si>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</si>
  <si>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</si>
  <si>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</si>
  <si>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</si>
  <si>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</si>
  <si>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</si>
  <si>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</si>
  <si>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</si>
  <si>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</si>
  <si>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</si>
  <si>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</si>
  <si>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</si>
  <si>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</si>
  <si>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</si>
  <si>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</si>
  <si>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</si>
  <si>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</si>
  <si>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</si>
  <si>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</si>
  <si>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</si>
  <si>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</si>
  <si>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</si>
  <si>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</si>
  <si>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</si>
  <si>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</si>
  <si>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</si>
  <si>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</si>
  <si>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</si>
  <si>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</si>
  <si>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</si>
  <si>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</si>
  <si>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</si>
  <si>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</si>
  <si>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</si>
  <si>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</si>
  <si>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</si>
  <si>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</si>
  <si>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</si>
  <si>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</si>
  <si>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</si>
  <si>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</si>
  <si>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</si>
  <si>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</si>
  <si>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</si>
  <si>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</si>
  <si>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</si>
  <si>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</si>
  <si>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</si>
  <si>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</si>
  <si>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</si>
  <si>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</si>
  <si>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</si>
  <si>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</si>
  <si>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</si>
  <si>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</si>
  <si>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</si>
  <si>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</si>
  <si>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</si>
  <si>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</si>
  <si>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</si>
  <si>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</si>
  <si>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</si>
  <si>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</si>
  <si>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</si>
  <si>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</si>
  <si>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</si>
  <si>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</si>
  <si>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</si>
  <si>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</si>
  <si>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</si>
  <si>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</si>
  <si>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</si>
  <si>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</si>
  <si>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</si>
  <si>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</si>
  <si>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</si>
  <si>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</si>
  <si>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</si>
  <si>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</si>
  <si>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</si>
  <si>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</si>
  <si>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</si>
  <si>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</si>
  <si>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</si>
  <si>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</si>
  <si>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</si>
  <si>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</si>
  <si>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</si>
  <si>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</si>
  <si>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</si>
  <si>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</si>
  <si>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</si>
  <si>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</si>
  <si>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</si>
  <si>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</si>
  <si>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</si>
  <si>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</si>
  <si>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</si>
  <si>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</si>
  <si>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</si>
  <si>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</si>
  <si>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</si>
  <si>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</si>
  <si>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</si>
  <si>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</si>
  <si>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</si>
  <si>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</si>
  <si>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</si>
  <si>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</si>
  <si>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</si>
  <si>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</si>
  <si>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</si>
  <si>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</si>
  <si>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</si>
  <si>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</si>
  <si>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</si>
  <si>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</si>
  <si>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</si>
  <si>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</si>
  <si>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</si>
  <si>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</si>
  <si>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</si>
  <si>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</si>
  <si>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</si>
  <si>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</si>
  <si>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</si>
  <si>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</si>
  <si>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</si>
  <si>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</si>
  <si>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</si>
  <si>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</si>
  <si>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</si>
  <si>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</si>
  <si>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</si>
  <si>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</si>
  <si>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</si>
  <si>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</si>
  <si>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</si>
  <si>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</si>
  <si>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</si>
  <si>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</si>
  <si>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</si>
  <si>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</si>
  <si>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</si>
  <si>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</si>
  <si>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</si>
  <si>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</si>
  <si>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</si>
  <si>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</si>
  <si>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</si>
  <si>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</si>
  <si>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</si>
  <si>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</si>
  <si>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</si>
  <si>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</si>
  <si>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</si>
  <si>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</si>
  <si>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</si>
  <si>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</si>
  <si>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</si>
  <si>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</si>
  <si>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</si>
  <si>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</si>
  <si>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</si>
  <si>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</si>
  <si>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</si>
  <si>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</si>
  <si>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</si>
  <si>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</si>
  <si>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</si>
  <si>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</si>
  <si>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</si>
  <si>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</si>
  <si>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</si>
  <si>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</si>
  <si>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</si>
  <si>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</si>
  <si>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</si>
  <si>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</si>
  <si>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</si>
  <si>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</si>
  <si>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</si>
  <si>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</si>
  <si>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</si>
  <si>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</si>
  <si>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</si>
  <si>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</si>
  <si>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</si>
  <si>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</si>
  <si>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</si>
  <si>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</si>
  <si>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</si>
  <si>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</si>
  <si>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</si>
  <si>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</si>
  <si>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</si>
  <si>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</si>
  <si>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</si>
  <si>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</si>
  <si>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</si>
  <si>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</si>
  <si>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</si>
  <si>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</si>
  <si>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</si>
  <si>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</si>
  <si>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</si>
  <si>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</si>
  <si>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</si>
  <si>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</si>
  <si>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</si>
  <si>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</si>
  <si>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</si>
  <si>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</si>
  <si>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</si>
  <si>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</si>
  <si>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</si>
  <si>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</si>
  <si>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</si>
  <si>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</si>
  <si>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</si>
  <si>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</si>
  <si>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</si>
  <si>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</si>
  <si>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</si>
  <si>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</si>
  <si>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</si>
  <si>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</si>
  <si>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</si>
  <si>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</si>
  <si>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</si>
  <si>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</si>
  <si>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</si>
  <si>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</si>
  <si>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</si>
  <si>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</si>
  <si>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</si>
  <si>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</si>
  <si>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</si>
  <si>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</si>
  <si>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</si>
  <si>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</si>
  <si>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</si>
  <si>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</si>
  <si>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</si>
  <si>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</si>
  <si>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</si>
  <si>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</si>
  <si>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</si>
  <si>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</si>
  <si>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</si>
  <si>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</si>
  <si>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</si>
  <si>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</si>
  <si>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</si>
  <si>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</si>
  <si>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</si>
  <si>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</si>
  <si>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</si>
  <si>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</si>
  <si>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</si>
  <si>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</si>
  <si>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</si>
  <si>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</si>
  <si>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</si>
  <si>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</si>
  <si>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</si>
  <si>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</si>
  <si>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</si>
  <si>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</si>
  <si>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</si>
  <si>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</si>
  <si>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</si>
  <si>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</si>
  <si>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</si>
  <si>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</si>
  <si>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</si>
  <si>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</si>
  <si>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</si>
  <si>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</si>
  <si>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</si>
  <si>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</si>
  <si>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</si>
  <si>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</si>
  <si>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</si>
  <si>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</si>
  <si>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</si>
  <si>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</si>
  <si>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</si>
  <si>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</si>
  <si>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</si>
  <si>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</si>
  <si>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</si>
  <si>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</si>
  <si>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</si>
  <si>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</si>
  <si>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</si>
  <si>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</si>
  <si>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</si>
  <si>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</si>
  <si>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</si>
  <si>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</si>
  <si>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</si>
  <si>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</si>
  <si>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</si>
  <si>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</si>
  <si>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</si>
  <si>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</si>
  <si>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</si>
  <si>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</si>
  <si>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</si>
  <si>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</si>
  <si>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</si>
  <si>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</si>
  <si>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</si>
  <si>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</si>
  <si>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</si>
  <si>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</si>
  <si>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</si>
  <si>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</si>
  <si>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</si>
  <si>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</si>
  <si>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</si>
  <si>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</si>
  <si>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</si>
  <si>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</si>
  <si>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</si>
  <si>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</si>
  <si>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</si>
  <si>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</si>
  <si>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</si>
  <si>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</si>
  <si>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</si>
  <si>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</si>
  <si>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</si>
  <si>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</si>
  <si>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</si>
  <si>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</si>
  <si>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</si>
  <si>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</si>
  <si>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</si>
  <si>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</si>
  <si>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</si>
  <si>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</si>
  <si>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</si>
  <si>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</si>
  <si>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</si>
  <si>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</si>
  <si>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</si>
  <si>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</si>
  <si>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</si>
  <si>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</si>
  <si>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</si>
  <si>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</si>
  <si>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</si>
  <si>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</si>
  <si>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</si>
  <si>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</si>
  <si>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</si>
  <si>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</si>
  <si>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</si>
  <si>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</si>
  <si>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</si>
  <si>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</si>
  <si>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</si>
  <si>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</si>
  <si>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</si>
  <si>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</si>
  <si>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</si>
  <si>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</si>
  <si>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</si>
  <si>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</si>
  <si>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</si>
  <si>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</si>
  <si>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</si>
  <si>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</si>
  <si>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</si>
  <si>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</si>
  <si>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</si>
  <si>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</si>
  <si>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</si>
  <si>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</si>
  <si>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</si>
  <si>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</si>
  <si>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</si>
  <si>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</si>
  <si>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</si>
  <si>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</si>
  <si>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</si>
  <si>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</si>
  <si>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</si>
  <si>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</si>
  <si>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</si>
  <si>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</si>
  <si>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</si>
  <si>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</si>
  <si>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</si>
  <si>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</si>
  <si>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</si>
  <si>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</si>
  <si>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</si>
  <si>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</si>
  <si>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</si>
  <si>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</si>
  <si>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</si>
  <si>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</si>
  <si>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</si>
  <si>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</si>
  <si>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</si>
  <si>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</si>
  <si>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</si>
  <si>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</si>
  <si>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</si>
  <si>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</si>
  <si>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</si>
  <si>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</si>
  <si>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</si>
  <si>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</si>
  <si>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</si>
  <si>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</si>
  <si>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</si>
  <si>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</si>
  <si>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</si>
  <si>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</si>
  <si>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</si>
  <si>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</si>
  <si>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</si>
  <si>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</si>
  <si>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</si>
  <si>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</si>
  <si>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</si>
  <si>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</si>
  <si>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</si>
  <si>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</si>
  <si>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</si>
  <si>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</si>
  <si>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</si>
  <si>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</si>
  <si>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</si>
  <si>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</si>
  <si>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</si>
  <si>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</si>
  <si>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</si>
  <si>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</si>
  <si>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</si>
  <si>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</si>
  <si>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</si>
  <si>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</si>
  <si>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</si>
  <si>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</si>
  <si>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</si>
  <si>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</si>
  <si>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</si>
  <si>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</si>
  <si>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</si>
  <si>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</si>
  <si>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</si>
  <si>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</si>
  <si>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</si>
  <si>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</si>
  <si>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</si>
  <si>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</si>
  <si>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</si>
  <si>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</si>
  <si>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</si>
  <si>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</si>
  <si>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</si>
  <si>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</si>
  <si>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</si>
  <si>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</si>
  <si>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</si>
  <si>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</si>
  <si>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</si>
  <si>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</si>
  <si>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</si>
  <si>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</si>
  <si>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</si>
  <si>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</si>
  <si>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</si>
  <si>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</si>
  <si>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</si>
  <si>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</si>
  <si>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</si>
  <si>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</si>
  <si>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</si>
  <si>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</si>
  <si>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</si>
  <si>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</si>
  <si>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</si>
  <si>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</si>
  <si>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</si>
  <si>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</si>
  <si>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</si>
  <si>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</si>
  <si>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</si>
  <si>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</si>
  <si>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</si>
  <si>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</si>
  <si>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</si>
  <si>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</si>
  <si>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</si>
  <si>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</si>
  <si>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</si>
  <si>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</si>
  <si>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</si>
  <si>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</si>
  <si>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</si>
  <si>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</si>
  <si>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</si>
  <si>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</si>
  <si>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</si>
  <si>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</si>
  <si>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</si>
  <si>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</si>
  <si>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</si>
  <si>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</si>
  <si>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</si>
  <si>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</si>
  <si>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</si>
  <si>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</si>
  <si>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</si>
  <si>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</si>
  <si>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</si>
  <si>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</si>
  <si>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</si>
  <si>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</si>
  <si>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</si>
  <si>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</si>
  <si>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</si>
  <si>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</si>
  <si>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</si>
  <si>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</si>
  <si>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</si>
  <si>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</si>
  <si>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</si>
  <si>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</si>
  <si>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</si>
  <si>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</si>
  <si>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</si>
  <si>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</si>
  <si>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</si>
  <si>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</si>
  <si>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</si>
  <si>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</si>
  <si>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</si>
  <si>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</si>
  <si>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</si>
  <si>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</si>
  <si>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</si>
  <si>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</si>
  <si>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</si>
  <si>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</si>
  <si>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</si>
  <si>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</si>
  <si>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</si>
  <si>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</si>
  <si>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</si>
  <si>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</si>
  <si>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</si>
  <si>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</si>
  <si>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</si>
  <si>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</si>
  <si>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</si>
  <si>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</si>
  <si>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</si>
  <si>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</si>
  <si>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</si>
  <si>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</si>
  <si>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</si>
  <si>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</si>
  <si>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</si>
  <si>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</si>
  <si>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</si>
  <si>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</si>
  <si>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</si>
  <si>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</si>
  <si>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</si>
  <si>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</si>
  <si>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</si>
  <si>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</si>
  <si>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</si>
  <si>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</si>
  <si>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</si>
  <si>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</si>
  <si>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</si>
  <si>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</si>
  <si>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</si>
  <si>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</si>
  <si>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</si>
  <si>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</si>
  <si>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</si>
  <si>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</si>
  <si>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</si>
  <si>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</si>
  <si>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</si>
  <si>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</si>
  <si>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</si>
  <si>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</si>
  <si>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</si>
  <si>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</si>
  <si>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</si>
  <si>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</si>
  <si>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</si>
  <si>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</si>
  <si>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</si>
  <si>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</si>
  <si>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</si>
  <si>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</si>
  <si>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</si>
  <si>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</si>
  <si>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</si>
  <si>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</si>
  <si>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</si>
  <si>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</si>
  <si>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</si>
  <si>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</si>
  <si>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</si>
  <si>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</si>
  <si>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</si>
  <si>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</si>
  <si>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</si>
  <si>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</si>
  <si>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</si>
  <si>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</si>
  <si>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</si>
  <si>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</si>
  <si>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42008</t>
  </si>
  <si>
    <t>HAMME</t>
  </si>
  <si>
    <t>Paarden&amp;pony's 200 - 600 kg</t>
  </si>
  <si>
    <t>Paarden&amp;pony's &lt; 200 kg</t>
  </si>
  <si>
    <t>Fluvius</t>
  </si>
  <si>
    <t xml:space="preserve">Bron: </t>
  </si>
  <si>
    <t>referentietaak LNE (2017); Jaarverslag De Lijn</t>
  </si>
  <si>
    <t>SOLANI bvba</t>
  </si>
  <si>
    <t>KASTEELLAAN 25C, 9220 Moerzeke</t>
  </si>
  <si>
    <t>WKK-0015 Willaert Moerzeke</t>
  </si>
  <si>
    <t>interne verbrandingsmotor</t>
  </si>
  <si>
    <t>WKK interne verbrandinsgmotor (gas)</t>
  </si>
  <si>
    <t>Kasteellaan 25 C, 9220 Moerzeke</t>
  </si>
  <si>
    <t>INTERGEM</t>
  </si>
  <si>
    <t>René en Johan Vermeir</t>
  </si>
  <si>
    <t>Stuyfbergen 30 , 9220 Hamme (O.-Vl.)</t>
  </si>
  <si>
    <t>WKK-0221 Rene en Johan Vermeir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</si>
</sst>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42008</v>
      </c>
      <c r="B6" s="386"/>
      <c r="C6" s="387"/>
    </row>
    <row r="7" spans="1:7" s="384" customFormat="1" ht="15.75" customHeight="1">
      <c r="A7" s="388" t="str">
        <f>txtMunicipality</f>
        <v>HAMME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20139.22221821671</v>
      </c>
      <c r="D10" s="676">
        <f ca="1">tertiair!C16</f>
        <v>0</v>
      </c>
      <c r="E10" s="676">
        <f ca="1">tertiair!D16</f>
        <v>25287.192124591467</v>
      </c>
      <c r="F10" s="676">
        <f>tertiair!E16</f>
        <v>373.44278405743779</v>
      </c>
      <c r="G10" s="676">
        <f ca="1">tertiair!F16</f>
        <v>3616.6391475731907</v>
      </c>
      <c r="H10" s="676">
        <f>tertiair!G16</f>
        <v>0</v>
      </c>
      <c r="I10" s="676">
        <f>tertiair!H16</f>
        <v>0</v>
      </c>
      <c r="J10" s="676">
        <f>tertiair!I16</f>
        <v>0</v>
      </c>
      <c r="K10" s="676">
        <f>tertiair!J16</f>
        <v>0</v>
      </c>
      <c r="L10" s="676">
        <f>tertiair!K16</f>
        <v>0</v>
      </c>
      <c r="M10" s="676">
        <f ca="1">tertiair!L16</f>
        <v>0</v>
      </c>
      <c r="N10" s="676">
        <f>tertiair!M16</f>
        <v>0</v>
      </c>
      <c r="O10" s="676">
        <f ca="1">tertiair!N16</f>
        <v>572.89067443885961</v>
      </c>
      <c r="P10" s="676">
        <f>tertiair!O16</f>
        <v>0</v>
      </c>
      <c r="Q10" s="677">
        <f>tertiair!P16</f>
        <v>0</v>
      </c>
      <c r="R10" s="679">
        <f ca="1">SUM(C10:Q10)</f>
        <v>49989.386948877662</v>
      </c>
      <c r="S10" s="67"/>
    </row>
    <row r="11" spans="1:19" s="445" customFormat="1">
      <c r="A11" s="791" t="s">
        <v>220</v>
      </c>
      <c r="B11" s="796"/>
      <c r="C11" s="676">
        <f>huishoudens!B8</f>
        <v>40965.183529843758</v>
      </c>
      <c r="D11" s="676">
        <f>huishoudens!C8</f>
        <v>0</v>
      </c>
      <c r="E11" s="676">
        <f>huishoudens!D8</f>
        <v>106998.90021991987</v>
      </c>
      <c r="F11" s="676">
        <f>huishoudens!E8</f>
        <v>1373.9095009909663</v>
      </c>
      <c r="G11" s="676">
        <f>huishoudens!F8</f>
        <v>46897.570482418305</v>
      </c>
      <c r="H11" s="676">
        <f>huishoudens!G8</f>
        <v>0</v>
      </c>
      <c r="I11" s="676">
        <f>huishoudens!H8</f>
        <v>0</v>
      </c>
      <c r="J11" s="676">
        <f>huishoudens!I8</f>
        <v>0</v>
      </c>
      <c r="K11" s="676">
        <f>huishoudens!J8</f>
        <v>1056.0143884547033</v>
      </c>
      <c r="L11" s="676">
        <f>huishoudens!K8</f>
        <v>0</v>
      </c>
      <c r="M11" s="676">
        <f>huishoudens!L8</f>
        <v>0</v>
      </c>
      <c r="N11" s="676">
        <f>huishoudens!M8</f>
        <v>0</v>
      </c>
      <c r="O11" s="676">
        <f>huishoudens!N8</f>
        <v>11567.087196679551</v>
      </c>
      <c r="P11" s="676">
        <f>huishoudens!O8</f>
        <v>85.983333333333334</v>
      </c>
      <c r="Q11" s="677">
        <f>huishoudens!P8</f>
        <v>190.66666666666669</v>
      </c>
      <c r="R11" s="679">
        <f>SUM(C11:Q11)</f>
        <v>209135.31531830714</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21284.702810231021</v>
      </c>
      <c r="D13" s="676">
        <f>industrie!C18</f>
        <v>0</v>
      </c>
      <c r="E13" s="676">
        <f>industrie!D18</f>
        <v>10266.452426982029</v>
      </c>
      <c r="F13" s="676">
        <f>industrie!E18</f>
        <v>193.37539988044264</v>
      </c>
      <c r="G13" s="676">
        <f>industrie!F18</f>
        <v>5087.0550178890016</v>
      </c>
      <c r="H13" s="676">
        <f>industrie!G18</f>
        <v>0</v>
      </c>
      <c r="I13" s="676">
        <f>industrie!H18</f>
        <v>0</v>
      </c>
      <c r="J13" s="676">
        <f>industrie!I18</f>
        <v>0</v>
      </c>
      <c r="K13" s="676">
        <f>industrie!J18</f>
        <v>109.22132472138685</v>
      </c>
      <c r="L13" s="676">
        <f>industrie!K18</f>
        <v>0</v>
      </c>
      <c r="M13" s="676">
        <f>industrie!L18</f>
        <v>0</v>
      </c>
      <c r="N13" s="676">
        <f>industrie!M18</f>
        <v>0</v>
      </c>
      <c r="O13" s="676">
        <f>industrie!N18</f>
        <v>477.7765249178301</v>
      </c>
      <c r="P13" s="676">
        <f>industrie!O18</f>
        <v>0</v>
      </c>
      <c r="Q13" s="677">
        <f>industrie!P18</f>
        <v>0</v>
      </c>
      <c r="R13" s="679">
        <f>SUM(C13:Q13)</f>
        <v>37418.583504621711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82389.108558291482</v>
      </c>
      <c r="D16" s="709">
        <f t="shared" ref="D16:R16" ca="1" si="0">SUM(D9:D15)</f>
        <v>0</v>
      </c>
      <c r="E16" s="709">
        <f t="shared" ca="1" si="0"/>
        <v>142552.54477149335</v>
      </c>
      <c r="F16" s="709">
        <f t="shared" si="0"/>
        <v>1940.7276849288469</v>
      </c>
      <c r="G16" s="709">
        <f t="shared" ca="1" si="0"/>
        <v>55601.264647880504</v>
      </c>
      <c r="H16" s="709">
        <f t="shared" si="0"/>
        <v>0</v>
      </c>
      <c r="I16" s="709">
        <f t="shared" si="0"/>
        <v>0</v>
      </c>
      <c r="J16" s="709">
        <f t="shared" si="0"/>
        <v>0</v>
      </c>
      <c r="K16" s="709">
        <f t="shared" si="0"/>
        <v>1165.23571317609</v>
      </c>
      <c r="L16" s="709">
        <f t="shared" si="0"/>
        <v>0</v>
      </c>
      <c r="M16" s="709">
        <f t="shared" ca="1" si="0"/>
        <v>0</v>
      </c>
      <c r="N16" s="709">
        <f t="shared" si="0"/>
        <v>0</v>
      </c>
      <c r="O16" s="709">
        <f t="shared" ca="1" si="0"/>
        <v>12617.754396036242</v>
      </c>
      <c r="P16" s="709">
        <f t="shared" si="0"/>
        <v>85.983333333333334</v>
      </c>
      <c r="Q16" s="709">
        <f t="shared" si="0"/>
        <v>190.66666666666669</v>
      </c>
      <c r="R16" s="709">
        <f t="shared" ca="1" si="0"/>
        <v>296543.28577180649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6.0277481316295729</v>
      </c>
      <c r="D19" s="676">
        <f>transport!C54</f>
        <v>0</v>
      </c>
      <c r="E19" s="676">
        <f>transport!D54</f>
        <v>0</v>
      </c>
      <c r="F19" s="676">
        <f>transport!E54</f>
        <v>0</v>
      </c>
      <c r="G19" s="676">
        <f>transport!F54</f>
        <v>0</v>
      </c>
      <c r="H19" s="676">
        <f>transport!G54</f>
        <v>1307.659439419599</v>
      </c>
      <c r="I19" s="676">
        <f>transport!H54</f>
        <v>0</v>
      </c>
      <c r="J19" s="676">
        <f>transport!I54</f>
        <v>0</v>
      </c>
      <c r="K19" s="676">
        <f>transport!J54</f>
        <v>0</v>
      </c>
      <c r="L19" s="676">
        <f>transport!K54</f>
        <v>0</v>
      </c>
      <c r="M19" s="676">
        <f>transport!L54</f>
        <v>0</v>
      </c>
      <c r="N19" s="676">
        <f>transport!M54</f>
        <v>55.988954150396964</v>
      </c>
      <c r="O19" s="676">
        <f>transport!N54</f>
        <v>0</v>
      </c>
      <c r="P19" s="676">
        <f>transport!O54</f>
        <v>0</v>
      </c>
      <c r="Q19" s="677">
        <f>transport!P54</f>
        <v>0</v>
      </c>
      <c r="R19" s="679">
        <f>SUM(C19:Q19)</f>
        <v>1369.6761417016255</v>
      </c>
      <c r="S19" s="67"/>
    </row>
    <row r="20" spans="1:19" s="445" customFormat="1">
      <c r="A20" s="791" t="s">
        <v>302</v>
      </c>
      <c r="B20" s="796"/>
      <c r="C20" s="676">
        <f>transport!B14</f>
        <v>1.0915399553227314</v>
      </c>
      <c r="D20" s="676">
        <f>transport!C14</f>
        <v>0</v>
      </c>
      <c r="E20" s="676">
        <f>transport!D14</f>
        <v>4.3383679960950658</v>
      </c>
      <c r="F20" s="676">
        <f>transport!E14</f>
        <v>437.77832155331322</v>
      </c>
      <c r="G20" s="676">
        <f>transport!F14</f>
        <v>0</v>
      </c>
      <c r="H20" s="676">
        <f>transport!G14</f>
        <v>74683.35044164311</v>
      </c>
      <c r="I20" s="676">
        <f>transport!H14</f>
        <v>14004.600977349241</v>
      </c>
      <c r="J20" s="676">
        <f>transport!I14</f>
        <v>0</v>
      </c>
      <c r="K20" s="676">
        <f>transport!J14</f>
        <v>0</v>
      </c>
      <c r="L20" s="676">
        <f>transport!K14</f>
        <v>0</v>
      </c>
      <c r="M20" s="676">
        <f>transport!L14</f>
        <v>0</v>
      </c>
      <c r="N20" s="676">
        <f>transport!M14</f>
        <v>3861.8599530097572</v>
      </c>
      <c r="O20" s="676">
        <f>transport!N14</f>
        <v>0</v>
      </c>
      <c r="P20" s="676">
        <f>transport!O14</f>
        <v>0</v>
      </c>
      <c r="Q20" s="677">
        <f>transport!P14</f>
        <v>0</v>
      </c>
      <c r="R20" s="679">
        <f>SUM(C20:Q20)</f>
        <v>92993.019601506836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7.1192880869523041</v>
      </c>
      <c r="D22" s="794">
        <f t="shared" ref="D22:R22" si="1">SUM(D18:D21)</f>
        <v>0</v>
      </c>
      <c r="E22" s="794">
        <f t="shared" si="1"/>
        <v>4.3383679960950658</v>
      </c>
      <c r="F22" s="794">
        <f t="shared" si="1"/>
        <v>437.77832155331322</v>
      </c>
      <c r="G22" s="794">
        <f t="shared" si="1"/>
        <v>0</v>
      </c>
      <c r="H22" s="794">
        <f t="shared" si="1"/>
        <v>75991.00988106271</v>
      </c>
      <c r="I22" s="794">
        <f t="shared" si="1"/>
        <v>14004.600977349241</v>
      </c>
      <c r="J22" s="794">
        <f t="shared" si="1"/>
        <v>0</v>
      </c>
      <c r="K22" s="794">
        <f t="shared" si="1"/>
        <v>0</v>
      </c>
      <c r="L22" s="794">
        <f t="shared" si="1"/>
        <v>0</v>
      </c>
      <c r="M22" s="794">
        <f t="shared" si="1"/>
        <v>0</v>
      </c>
      <c r="N22" s="794">
        <f t="shared" si="1"/>
        <v>3917.8489071601543</v>
      </c>
      <c r="O22" s="794">
        <f t="shared" si="1"/>
        <v>0</v>
      </c>
      <c r="P22" s="794">
        <f t="shared" si="1"/>
        <v>0</v>
      </c>
      <c r="Q22" s="794">
        <f t="shared" si="1"/>
        <v>0</v>
      </c>
      <c r="R22" s="794">
        <f t="shared" si="1"/>
        <v>94362.69574320846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2035.3908244533984</v>
      </c>
      <c r="D24" s="676">
        <f>+landbouw!C8</f>
        <v>16405.714285714286</v>
      </c>
      <c r="E24" s="676">
        <f>+landbouw!D8</f>
        <v>0</v>
      </c>
      <c r="F24" s="676">
        <f>+landbouw!E8</f>
        <v>21.315053357820116</v>
      </c>
      <c r="G24" s="676">
        <f>+landbouw!F8</f>
        <v>8713.0192972279729</v>
      </c>
      <c r="H24" s="676">
        <f>+landbouw!G8</f>
        <v>0</v>
      </c>
      <c r="I24" s="676">
        <f>+landbouw!H8</f>
        <v>0</v>
      </c>
      <c r="J24" s="676">
        <f>+landbouw!I8</f>
        <v>0</v>
      </c>
      <c r="K24" s="676">
        <f>+landbouw!J8</f>
        <v>181.77864414287626</v>
      </c>
      <c r="L24" s="676">
        <f>+landbouw!K8</f>
        <v>0</v>
      </c>
      <c r="M24" s="676">
        <f>+landbouw!L8</f>
        <v>0</v>
      </c>
      <c r="N24" s="676">
        <f>+landbouw!M8</f>
        <v>0</v>
      </c>
      <c r="O24" s="676">
        <f>+landbouw!N8</f>
        <v>0</v>
      </c>
      <c r="P24" s="676">
        <f>+landbouw!O8</f>
        <v>0</v>
      </c>
      <c r="Q24" s="677">
        <f>+landbouw!P8</f>
        <v>0</v>
      </c>
      <c r="R24" s="679">
        <f>SUM(C24:Q24)</f>
        <v>27357.218104896354</v>
      </c>
      <c r="S24" s="67"/>
    </row>
    <row r="25" spans="1:19" s="445" customFormat="1" ht="15" thickBot="1">
      <c r="A25" s="813" t="s">
        <v>895</v>
      </c>
      <c r="B25" s="968"/>
      <c r="C25" s="969">
        <f>IF(Onbekend_ele_kWh="---",0,Onbekend_ele_kWh)/1000+IF(REST_rest_ele_kWh="---",0,REST_rest_ele_kWh)/1000</f>
        <v>1903.40519299227</v>
      </c>
      <c r="D25" s="969"/>
      <c r="E25" s="969">
        <f>IF(onbekend_gas_kWh="---",0,onbekend_gas_kWh)/1000+IF(REST_rest_gas_kWh="---",0,REST_rest_gas_kWh)/1000</f>
        <v>4247.21499579391</v>
      </c>
      <c r="F25" s="969"/>
      <c r="G25" s="969"/>
      <c r="H25" s="969"/>
      <c r="I25" s="969"/>
      <c r="J25" s="969"/>
      <c r="K25" s="969"/>
      <c r="L25" s="969"/>
      <c r="M25" s="969"/>
      <c r="N25" s="969"/>
      <c r="O25" s="969"/>
      <c r="P25" s="969"/>
      <c r="Q25" s="970"/>
      <c r="R25" s="679">
        <f>SUM(C25:Q25)</f>
        <v>6150.6201887861798</v>
      </c>
      <c r="S25" s="67"/>
    </row>
    <row r="26" spans="1:19" s="445" customFormat="1" ht="15.75" thickBot="1">
      <c r="A26" s="682" t="s">
        <v>896</v>
      </c>
      <c r="B26" s="799"/>
      <c r="C26" s="794">
        <f>SUM(C24:C25)</f>
        <v>3938.7960174456684</v>
      </c>
      <c r="D26" s="794">
        <f t="shared" ref="D26:R26" si="2">SUM(D24:D25)</f>
        <v>16405.714285714286</v>
      </c>
      <c r="E26" s="794">
        <f t="shared" si="2"/>
        <v>4247.21499579391</v>
      </c>
      <c r="F26" s="794">
        <f t="shared" si="2"/>
        <v>21.315053357820116</v>
      </c>
      <c r="G26" s="794">
        <f t="shared" si="2"/>
        <v>8713.0192972279729</v>
      </c>
      <c r="H26" s="794">
        <f t="shared" si="2"/>
        <v>0</v>
      </c>
      <c r="I26" s="794">
        <f t="shared" si="2"/>
        <v>0</v>
      </c>
      <c r="J26" s="794">
        <f t="shared" si="2"/>
        <v>0</v>
      </c>
      <c r="K26" s="794">
        <f t="shared" si="2"/>
        <v>181.77864414287626</v>
      </c>
      <c r="L26" s="794">
        <f t="shared" si="2"/>
        <v>0</v>
      </c>
      <c r="M26" s="794">
        <f t="shared" si="2"/>
        <v>0</v>
      </c>
      <c r="N26" s="794">
        <f t="shared" si="2"/>
        <v>0</v>
      </c>
      <c r="O26" s="794">
        <f t="shared" si="2"/>
        <v>0</v>
      </c>
      <c r="P26" s="794">
        <f t="shared" si="2"/>
        <v>0</v>
      </c>
      <c r="Q26" s="794">
        <f t="shared" si="2"/>
        <v>0</v>
      </c>
      <c r="R26" s="794">
        <f t="shared" si="2"/>
        <v>33507.838293682536</v>
      </c>
      <c r="S26" s="67"/>
    </row>
    <row r="27" spans="1:19" s="445" customFormat="1" ht="17.25" thickTop="1" thickBot="1">
      <c r="A27" s="683" t="s">
        <v>115</v>
      </c>
      <c r="B27" s="786"/>
      <c r="C27" s="684">
        <f ca="1">C22+C16+C26</f>
        <v>86335.023863824099</v>
      </c>
      <c r="D27" s="684">
        <f t="shared" ref="D27:R27" ca="1" si="3">D22+D16+D26</f>
        <v>16405.714285714286</v>
      </c>
      <c r="E27" s="684">
        <f t="shared" ca="1" si="3"/>
        <v>146804.09813528336</v>
      </c>
      <c r="F27" s="684">
        <f t="shared" si="3"/>
        <v>2399.8210598399801</v>
      </c>
      <c r="G27" s="684">
        <f t="shared" ca="1" si="3"/>
        <v>64314.283945108473</v>
      </c>
      <c r="H27" s="684">
        <f t="shared" si="3"/>
        <v>75991.00988106271</v>
      </c>
      <c r="I27" s="684">
        <f t="shared" si="3"/>
        <v>14004.600977349241</v>
      </c>
      <c r="J27" s="684">
        <f t="shared" si="3"/>
        <v>0</v>
      </c>
      <c r="K27" s="684">
        <f t="shared" si="3"/>
        <v>1347.0143573189662</v>
      </c>
      <c r="L27" s="684">
        <f t="shared" si="3"/>
        <v>0</v>
      </c>
      <c r="M27" s="684">
        <f t="shared" ca="1" si="3"/>
        <v>0</v>
      </c>
      <c r="N27" s="684">
        <f t="shared" si="3"/>
        <v>3917.8489071601543</v>
      </c>
      <c r="O27" s="684">
        <f t="shared" ca="1" si="3"/>
        <v>12617.754396036242</v>
      </c>
      <c r="P27" s="684">
        <f t="shared" si="3"/>
        <v>85.983333333333334</v>
      </c>
      <c r="Q27" s="684">
        <f t="shared" si="3"/>
        <v>190.66666666666669</v>
      </c>
      <c r="R27" s="684">
        <f t="shared" ca="1" si="3"/>
        <v>424413.8198086975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3973.1884400951735</v>
      </c>
      <c r="D40" s="676">
        <f ca="1">tertiair!C20</f>
        <v>0</v>
      </c>
      <c r="E40" s="676">
        <f ca="1">tertiair!D20</f>
        <v>5108.0128091674769</v>
      </c>
      <c r="F40" s="676">
        <f>tertiair!E20</f>
        <v>84.771511981038387</v>
      </c>
      <c r="G40" s="676">
        <f ca="1">tertiair!F20</f>
        <v>965.64265240204202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10131.615413645732</v>
      </c>
    </row>
    <row r="41" spans="1:18">
      <c r="A41" s="804" t="s">
        <v>220</v>
      </c>
      <c r="B41" s="811"/>
      <c r="C41" s="676">
        <f ca="1">huishoudens!B12</f>
        <v>8081.8609519054562</v>
      </c>
      <c r="D41" s="676">
        <f ca="1">huishoudens!C12</f>
        <v>0</v>
      </c>
      <c r="E41" s="676">
        <f>huishoudens!D12</f>
        <v>21613.777844423817</v>
      </c>
      <c r="F41" s="676">
        <f>huishoudens!E12</f>
        <v>311.87745672494935</v>
      </c>
      <c r="G41" s="676">
        <f>huishoudens!F12</f>
        <v>12521.651318805689</v>
      </c>
      <c r="H41" s="676">
        <f>huishoudens!G12</f>
        <v>0</v>
      </c>
      <c r="I41" s="676">
        <f>huishoudens!H12</f>
        <v>0</v>
      </c>
      <c r="J41" s="676">
        <f>huishoudens!I12</f>
        <v>0</v>
      </c>
      <c r="K41" s="676">
        <f>huishoudens!J12</f>
        <v>373.82909351296496</v>
      </c>
      <c r="L41" s="676">
        <f>huishoudens!K12</f>
        <v>0</v>
      </c>
      <c r="M41" s="676">
        <f>huishoudens!L12</f>
        <v>0</v>
      </c>
      <c r="N41" s="676">
        <f>huishoudens!M12</f>
        <v>0</v>
      </c>
      <c r="O41" s="676">
        <f>huishoudens!N12</f>
        <v>0</v>
      </c>
      <c r="P41" s="676">
        <f>huishoudens!O12</f>
        <v>0</v>
      </c>
      <c r="Q41" s="751">
        <f>huishoudens!P12</f>
        <v>0</v>
      </c>
      <c r="R41" s="832">
        <f t="shared" ca="1" si="4"/>
        <v>42902.996665372877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4199.175829142795</v>
      </c>
      <c r="D43" s="676">
        <f ca="1">industrie!C22</f>
        <v>0</v>
      </c>
      <c r="E43" s="676">
        <f>industrie!D22</f>
        <v>2073.8233902503698</v>
      </c>
      <c r="F43" s="676">
        <f>industrie!E22</f>
        <v>43.896215772860479</v>
      </c>
      <c r="G43" s="676">
        <f>industrie!F22</f>
        <v>1358.2436897763635</v>
      </c>
      <c r="H43" s="676">
        <f>industrie!G22</f>
        <v>0</v>
      </c>
      <c r="I43" s="676">
        <f>industrie!H22</f>
        <v>0</v>
      </c>
      <c r="J43" s="676">
        <f>industrie!I22</f>
        <v>0</v>
      </c>
      <c r="K43" s="676">
        <f>industrie!J22</f>
        <v>38.66434895137094</v>
      </c>
      <c r="L43" s="676">
        <f>industrie!K22</f>
        <v>0</v>
      </c>
      <c r="M43" s="676">
        <f>industrie!L22</f>
        <v>0</v>
      </c>
      <c r="N43" s="676">
        <f>industrie!M22</f>
        <v>0</v>
      </c>
      <c r="O43" s="676">
        <f>industrie!N22</f>
        <v>0</v>
      </c>
      <c r="P43" s="676">
        <f>industrie!O22</f>
        <v>0</v>
      </c>
      <c r="Q43" s="751">
        <f>industrie!P22</f>
        <v>0</v>
      </c>
      <c r="R43" s="831">
        <f t="shared" ca="1" si="4"/>
        <v>7713.8034738937595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16254.225221143424</v>
      </c>
      <c r="D46" s="709">
        <f t="shared" ref="D46:Q46" ca="1" si="5">SUM(D39:D45)</f>
        <v>0</v>
      </c>
      <c r="E46" s="709">
        <f t="shared" ca="1" si="5"/>
        <v>28795.614043841666</v>
      </c>
      <c r="F46" s="709">
        <f t="shared" si="5"/>
        <v>440.54518447884823</v>
      </c>
      <c r="G46" s="709">
        <f t="shared" ca="1" si="5"/>
        <v>14845.537660984095</v>
      </c>
      <c r="H46" s="709">
        <f t="shared" si="5"/>
        <v>0</v>
      </c>
      <c r="I46" s="709">
        <f t="shared" si="5"/>
        <v>0</v>
      </c>
      <c r="J46" s="709">
        <f t="shared" si="5"/>
        <v>0</v>
      </c>
      <c r="K46" s="709">
        <f t="shared" si="5"/>
        <v>412.49344246433589</v>
      </c>
      <c r="L46" s="709">
        <f t="shared" si="5"/>
        <v>0</v>
      </c>
      <c r="M46" s="709">
        <f t="shared" ca="1" si="5"/>
        <v>0</v>
      </c>
      <c r="N46" s="709">
        <f t="shared" si="5"/>
        <v>0</v>
      </c>
      <c r="O46" s="709">
        <f t="shared" ca="1" si="5"/>
        <v>0</v>
      </c>
      <c r="P46" s="709">
        <f t="shared" si="5"/>
        <v>0</v>
      </c>
      <c r="Q46" s="709">
        <f t="shared" si="5"/>
        <v>0</v>
      </c>
      <c r="R46" s="709">
        <f ca="1">SUM(R39:R45)</f>
        <v>60748.415552912367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1.1891908702776395</v>
      </c>
      <c r="D49" s="676">
        <f ca="1">transport!C58</f>
        <v>0</v>
      </c>
      <c r="E49" s="676">
        <f>transport!D58</f>
        <v>0</v>
      </c>
      <c r="F49" s="676">
        <f>transport!E58</f>
        <v>0</v>
      </c>
      <c r="G49" s="676">
        <f>transport!F58</f>
        <v>0</v>
      </c>
      <c r="H49" s="676">
        <f>transport!G58</f>
        <v>349.14507032503298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350.3342611953106</v>
      </c>
    </row>
    <row r="50" spans="1:18">
      <c r="A50" s="807" t="s">
        <v>302</v>
      </c>
      <c r="B50" s="817"/>
      <c r="C50" s="975">
        <f ca="1">transport!B18</f>
        <v>0.21534565165418301</v>
      </c>
      <c r="D50" s="975">
        <f>transport!C18</f>
        <v>0</v>
      </c>
      <c r="E50" s="975">
        <f>transport!D18</f>
        <v>0.87635033521120331</v>
      </c>
      <c r="F50" s="975">
        <f>transport!E18</f>
        <v>99.375678992602104</v>
      </c>
      <c r="G50" s="975">
        <f>transport!F18</f>
        <v>0</v>
      </c>
      <c r="H50" s="975">
        <f>transport!G18</f>
        <v>19940.45456791871</v>
      </c>
      <c r="I50" s="975">
        <f>transport!H18</f>
        <v>3487.145643359961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23528.067586258137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1.4045365219318224</v>
      </c>
      <c r="D52" s="709">
        <f t="shared" ref="D52:Q52" ca="1" si="6">SUM(D48:D51)</f>
        <v>0</v>
      </c>
      <c r="E52" s="709">
        <f t="shared" si="6"/>
        <v>0.87635033521120331</v>
      </c>
      <c r="F52" s="709">
        <f t="shared" si="6"/>
        <v>99.375678992602104</v>
      </c>
      <c r="G52" s="709">
        <f t="shared" si="6"/>
        <v>0</v>
      </c>
      <c r="H52" s="709">
        <f t="shared" si="6"/>
        <v>20289.599638243744</v>
      </c>
      <c r="I52" s="709">
        <f t="shared" si="6"/>
        <v>3487.145643359961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23878.40184745345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401.5543007156964</v>
      </c>
      <c r="D54" s="975">
        <f ca="1">+landbouw!C12</f>
        <v>3898.7697478991599</v>
      </c>
      <c r="E54" s="975">
        <f>+landbouw!D12</f>
        <v>0</v>
      </c>
      <c r="F54" s="975">
        <f>+landbouw!E12</f>
        <v>4.8385171122251664</v>
      </c>
      <c r="G54" s="975">
        <f>+landbouw!F12</f>
        <v>2326.3761523598687</v>
      </c>
      <c r="H54" s="975">
        <f>+landbouw!G12</f>
        <v>0</v>
      </c>
      <c r="I54" s="975">
        <f>+landbouw!H12</f>
        <v>0</v>
      </c>
      <c r="J54" s="975">
        <f>+landbouw!I12</f>
        <v>0</v>
      </c>
      <c r="K54" s="975">
        <f>+landbouw!J12</f>
        <v>64.349640026578186</v>
      </c>
      <c r="L54" s="975">
        <f>+landbouw!K12</f>
        <v>0</v>
      </c>
      <c r="M54" s="975">
        <f>+landbouw!L12</f>
        <v>0</v>
      </c>
      <c r="N54" s="975">
        <f>+landbouw!M12</f>
        <v>0</v>
      </c>
      <c r="O54" s="975">
        <f>+landbouw!N12</f>
        <v>0</v>
      </c>
      <c r="P54" s="975">
        <f>+landbouw!O12</f>
        <v>0</v>
      </c>
      <c r="Q54" s="976">
        <f>+landbouw!P12</f>
        <v>0</v>
      </c>
      <c r="R54" s="708">
        <f ca="1">SUM(C54:Q54)</f>
        <v>6695.8883581135287</v>
      </c>
    </row>
    <row r="55" spans="1:18" ht="15" thickBot="1">
      <c r="A55" s="807" t="s">
        <v>895</v>
      </c>
      <c r="B55" s="817"/>
      <c r="C55" s="975">
        <f ca="1">C25*'EF ele_warmte'!B12</f>
        <v>375.51537133213395</v>
      </c>
      <c r="D55" s="975"/>
      <c r="E55" s="975">
        <f>E25*EF_CO2_aardgas</f>
        <v>857.93742915036989</v>
      </c>
      <c r="F55" s="975"/>
      <c r="G55" s="975"/>
      <c r="H55" s="975"/>
      <c r="I55" s="975"/>
      <c r="J55" s="975"/>
      <c r="K55" s="975"/>
      <c r="L55" s="975"/>
      <c r="M55" s="975"/>
      <c r="N55" s="975"/>
      <c r="O55" s="975"/>
      <c r="P55" s="975"/>
      <c r="Q55" s="976"/>
      <c r="R55" s="708">
        <f ca="1">SUM(C55:Q55)</f>
        <v>1233.4528004825038</v>
      </c>
    </row>
    <row r="56" spans="1:18" ht="15.75" thickBot="1">
      <c r="A56" s="805" t="s">
        <v>896</v>
      </c>
      <c r="B56" s="818"/>
      <c r="C56" s="709">
        <f ca="1">SUM(C54:C55)</f>
        <v>777.06967204783041</v>
      </c>
      <c r="D56" s="709">
        <f t="shared" ref="D56:Q56" ca="1" si="7">SUM(D54:D55)</f>
        <v>3898.7697478991599</v>
      </c>
      <c r="E56" s="709">
        <f t="shared" si="7"/>
        <v>857.93742915036989</v>
      </c>
      <c r="F56" s="709">
        <f t="shared" si="7"/>
        <v>4.8385171122251664</v>
      </c>
      <c r="G56" s="709">
        <f t="shared" si="7"/>
        <v>2326.3761523598687</v>
      </c>
      <c r="H56" s="709">
        <f t="shared" si="7"/>
        <v>0</v>
      </c>
      <c r="I56" s="709">
        <f t="shared" si="7"/>
        <v>0</v>
      </c>
      <c r="J56" s="709">
        <f t="shared" si="7"/>
        <v>0</v>
      </c>
      <c r="K56" s="709">
        <f t="shared" si="7"/>
        <v>64.349640026578186</v>
      </c>
      <c r="L56" s="709">
        <f t="shared" si="7"/>
        <v>0</v>
      </c>
      <c r="M56" s="709">
        <f t="shared" si="7"/>
        <v>0</v>
      </c>
      <c r="N56" s="709">
        <f t="shared" si="7"/>
        <v>0</v>
      </c>
      <c r="O56" s="709">
        <f t="shared" si="7"/>
        <v>0</v>
      </c>
      <c r="P56" s="709">
        <f t="shared" si="7"/>
        <v>0</v>
      </c>
      <c r="Q56" s="710">
        <f t="shared" si="7"/>
        <v>0</v>
      </c>
      <c r="R56" s="711">
        <f ca="1">SUM(R54:R55)</f>
        <v>7929.341158596033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17032.699429713186</v>
      </c>
      <c r="D61" s="717">
        <f t="shared" ref="D61:Q61" ca="1" si="8">D46+D52+D56</f>
        <v>3898.7697478991599</v>
      </c>
      <c r="E61" s="717">
        <f t="shared" ca="1" si="8"/>
        <v>29654.427823327249</v>
      </c>
      <c r="F61" s="717">
        <f t="shared" si="8"/>
        <v>544.75938058367547</v>
      </c>
      <c r="G61" s="717">
        <f t="shared" ca="1" si="8"/>
        <v>17171.913813343963</v>
      </c>
      <c r="H61" s="717">
        <f t="shared" si="8"/>
        <v>20289.599638243744</v>
      </c>
      <c r="I61" s="717">
        <f t="shared" si="8"/>
        <v>3487.145643359961</v>
      </c>
      <c r="J61" s="717">
        <f t="shared" si="8"/>
        <v>0</v>
      </c>
      <c r="K61" s="717">
        <f t="shared" si="8"/>
        <v>476.84308249091407</v>
      </c>
      <c r="L61" s="717">
        <f t="shared" si="8"/>
        <v>0</v>
      </c>
      <c r="M61" s="717">
        <f t="shared" ca="1" si="8"/>
        <v>0</v>
      </c>
      <c r="N61" s="717">
        <f t="shared" si="8"/>
        <v>0</v>
      </c>
      <c r="O61" s="717">
        <f t="shared" ca="1" si="8"/>
        <v>0</v>
      </c>
      <c r="P61" s="717">
        <f t="shared" si="8"/>
        <v>0</v>
      </c>
      <c r="Q61" s="717">
        <f t="shared" si="8"/>
        <v>0</v>
      </c>
      <c r="R61" s="717">
        <f ca="1">R46+R52+R56</f>
        <v>92556.158558961848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0.19728609163968955</v>
      </c>
      <c r="D63" s="761">
        <f t="shared" ca="1" si="9"/>
        <v>0.23764705882352943</v>
      </c>
      <c r="E63" s="977">
        <f t="shared" ca="1" si="9"/>
        <v>0.20200000000000007</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7598.5958320085565</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2530.4343386762907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11484</v>
      </c>
      <c r="D76" s="987">
        <f>'lokale energieproductie'!C8</f>
        <v>13510.588235294117</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2729.1388235294116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10129.030170684848</v>
      </c>
      <c r="C78" s="732">
        <f>SUM(C72:C77)</f>
        <v>11484</v>
      </c>
      <c r="D78" s="733">
        <f t="shared" ref="D78:H78" si="10">SUM(D76:D77)</f>
        <v>13510.588235294117</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2729.1388235294116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16405.714285714286</v>
      </c>
      <c r="D87" s="754">
        <f>'lokale energieproductie'!C17</f>
        <v>19300.840336134454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3898.7697478991599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16405.714285714286</v>
      </c>
      <c r="D90" s="732">
        <f t="shared" ref="D90:H90" si="12">SUM(D87:D89)</f>
        <v>19300.840336134454</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3898.7697478991599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40965.183529843758</v>
      </c>
      <c r="C4" s="449">
        <f>huishoudens!C8</f>
        <v>0</v>
      </c>
      <c r="D4" s="449">
        <f>huishoudens!D8</f>
        <v>106998.90021991987</v>
      </c>
      <c r="E4" s="449">
        <f>huishoudens!E8</f>
        <v>1373.9095009909663</v>
      </c>
      <c r="F4" s="449">
        <f>huishoudens!F8</f>
        <v>46897.570482418305</v>
      </c>
      <c r="G4" s="449">
        <f>huishoudens!G8</f>
        <v>0</v>
      </c>
      <c r="H4" s="449">
        <f>huishoudens!H8</f>
        <v>0</v>
      </c>
      <c r="I4" s="449">
        <f>huishoudens!I8</f>
        <v>0</v>
      </c>
      <c r="J4" s="449">
        <f>huishoudens!J8</f>
        <v>1056.0143884547033</v>
      </c>
      <c r="K4" s="449">
        <f>huishoudens!K8</f>
        <v>0</v>
      </c>
      <c r="L4" s="449">
        <f>huishoudens!L8</f>
        <v>0</v>
      </c>
      <c r="M4" s="449">
        <f>huishoudens!M8</f>
        <v>0</v>
      </c>
      <c r="N4" s="449">
        <f>huishoudens!N8</f>
        <v>11567.087196679551</v>
      </c>
      <c r="O4" s="449">
        <f>huishoudens!O8</f>
        <v>85.983333333333334</v>
      </c>
      <c r="P4" s="450">
        <f>huishoudens!P8</f>
        <v>190.66666666666669</v>
      </c>
      <c r="Q4" s="451">
        <f>SUM(B4:P4)</f>
        <v>209135.31531830714</v>
      </c>
    </row>
    <row r="5" spans="1:17">
      <c r="A5" s="448" t="s">
        <v>155</v>
      </c>
      <c r="B5" s="449">
        <f ca="1">tertiair!B16</f>
        <v>18915.75821821671</v>
      </c>
      <c r="C5" s="449">
        <f ca="1">tertiair!C16</f>
        <v>0</v>
      </c>
      <c r="D5" s="449">
        <f ca="1">tertiair!D16</f>
        <v>25287.192124591467</v>
      </c>
      <c r="E5" s="449">
        <f>tertiair!E16</f>
        <v>373.44278405743779</v>
      </c>
      <c r="F5" s="449">
        <f ca="1">tertiair!F16</f>
        <v>3616.6391475731907</v>
      </c>
      <c r="G5" s="449">
        <f>tertiair!G16</f>
        <v>0</v>
      </c>
      <c r="H5" s="449">
        <f>tertiair!H16</f>
        <v>0</v>
      </c>
      <c r="I5" s="449">
        <f>tertiair!I16</f>
        <v>0</v>
      </c>
      <c r="J5" s="449">
        <f>tertiair!J16</f>
        <v>0</v>
      </c>
      <c r="K5" s="449">
        <f>tertiair!K16</f>
        <v>0</v>
      </c>
      <c r="L5" s="449">
        <f ca="1">tertiair!L16</f>
        <v>0</v>
      </c>
      <c r="M5" s="449">
        <f>tertiair!M16</f>
        <v>0</v>
      </c>
      <c r="N5" s="449">
        <f ca="1">tertiair!N16</f>
        <v>572.89067443885961</v>
      </c>
      <c r="O5" s="449">
        <f>tertiair!O16</f>
        <v>0</v>
      </c>
      <c r="P5" s="450">
        <f>tertiair!P16</f>
        <v>0</v>
      </c>
      <c r="Q5" s="448">
        <f t="shared" ref="Q5:Q14" ca="1" si="0">SUM(B5:P5)</f>
        <v>48765.922948877669</v>
      </c>
    </row>
    <row r="6" spans="1:17">
      <c r="A6" s="448" t="s">
        <v>193</v>
      </c>
      <c r="B6" s="449">
        <f>'openbare verlichting'!B8</f>
        <v>1223.4639999999999</v>
      </c>
      <c r="C6" s="449"/>
      <c r="D6" s="449"/>
      <c r="E6" s="449"/>
      <c r="F6" s="449"/>
      <c r="G6" s="449"/>
      <c r="H6" s="449"/>
      <c r="I6" s="449"/>
      <c r="J6" s="449"/>
      <c r="K6" s="449"/>
      <c r="L6" s="449"/>
      <c r="M6" s="449"/>
      <c r="N6" s="449"/>
      <c r="O6" s="449"/>
      <c r="P6" s="450"/>
      <c r="Q6" s="448">
        <f t="shared" si="0"/>
        <v>1223.4639999999999</v>
      </c>
    </row>
    <row r="7" spans="1:17">
      <c r="A7" s="448" t="s">
        <v>111</v>
      </c>
      <c r="B7" s="449">
        <f>landbouw!B8</f>
        <v>2035.3908244533984</v>
      </c>
      <c r="C7" s="449">
        <f>landbouw!C8</f>
        <v>16405.714285714286</v>
      </c>
      <c r="D7" s="449">
        <f>landbouw!D8</f>
        <v>0</v>
      </c>
      <c r="E7" s="449">
        <f>landbouw!E8</f>
        <v>21.315053357820116</v>
      </c>
      <c r="F7" s="449">
        <f>landbouw!F8</f>
        <v>8713.0192972279729</v>
      </c>
      <c r="G7" s="449">
        <f>landbouw!G8</f>
        <v>0</v>
      </c>
      <c r="H7" s="449">
        <f>landbouw!H8</f>
        <v>0</v>
      </c>
      <c r="I7" s="449">
        <f>landbouw!I8</f>
        <v>0</v>
      </c>
      <c r="J7" s="449">
        <f>landbouw!J8</f>
        <v>181.77864414287626</v>
      </c>
      <c r="K7" s="449">
        <f>landbouw!K8</f>
        <v>0</v>
      </c>
      <c r="L7" s="449">
        <f>landbouw!L8</f>
        <v>0</v>
      </c>
      <c r="M7" s="449">
        <f>landbouw!M8</f>
        <v>0</v>
      </c>
      <c r="N7" s="449">
        <f>landbouw!N8</f>
        <v>0</v>
      </c>
      <c r="O7" s="449">
        <f>landbouw!O8</f>
        <v>0</v>
      </c>
      <c r="P7" s="450">
        <f>landbouw!P8</f>
        <v>0</v>
      </c>
      <c r="Q7" s="448">
        <f t="shared" si="0"/>
        <v>27357.218104896354</v>
      </c>
    </row>
    <row r="8" spans="1:17">
      <c r="A8" s="448" t="s">
        <v>643</v>
      </c>
      <c r="B8" s="449">
        <f>industrie!B18</f>
        <v>21284.702810231021</v>
      </c>
      <c r="C8" s="449">
        <f>industrie!C18</f>
        <v>0</v>
      </c>
      <c r="D8" s="449">
        <f>industrie!D18</f>
        <v>10266.452426982029</v>
      </c>
      <c r="E8" s="449">
        <f>industrie!E18</f>
        <v>193.37539988044264</v>
      </c>
      <c r="F8" s="449">
        <f>industrie!F18</f>
        <v>5087.0550178890016</v>
      </c>
      <c r="G8" s="449">
        <f>industrie!G18</f>
        <v>0</v>
      </c>
      <c r="H8" s="449">
        <f>industrie!H18</f>
        <v>0</v>
      </c>
      <c r="I8" s="449">
        <f>industrie!I18</f>
        <v>0</v>
      </c>
      <c r="J8" s="449">
        <f>industrie!J18</f>
        <v>109.22132472138685</v>
      </c>
      <c r="K8" s="449">
        <f>industrie!K18</f>
        <v>0</v>
      </c>
      <c r="L8" s="449">
        <f>industrie!L18</f>
        <v>0</v>
      </c>
      <c r="M8" s="449">
        <f>industrie!M18</f>
        <v>0</v>
      </c>
      <c r="N8" s="449">
        <f>industrie!N18</f>
        <v>477.7765249178301</v>
      </c>
      <c r="O8" s="449">
        <f>industrie!O18</f>
        <v>0</v>
      </c>
      <c r="P8" s="450">
        <f>industrie!P18</f>
        <v>0</v>
      </c>
      <c r="Q8" s="448">
        <f t="shared" si="0"/>
        <v>37418.583504621711</v>
      </c>
    </row>
    <row r="9" spans="1:17" s="454" customFormat="1">
      <c r="A9" s="452" t="s">
        <v>562</v>
      </c>
      <c r="B9" s="453">
        <f>transport!B14</f>
        <v>1.0915399553227314</v>
      </c>
      <c r="C9" s="453">
        <f>transport!C14</f>
        <v>0</v>
      </c>
      <c r="D9" s="453">
        <f>transport!D14</f>
        <v>4.3383679960950658</v>
      </c>
      <c r="E9" s="453">
        <f>transport!E14</f>
        <v>437.77832155331322</v>
      </c>
      <c r="F9" s="453">
        <f>transport!F14</f>
        <v>0</v>
      </c>
      <c r="G9" s="453">
        <f>transport!G14</f>
        <v>74683.35044164311</v>
      </c>
      <c r="H9" s="453">
        <f>transport!H14</f>
        <v>14004.600977349241</v>
      </c>
      <c r="I9" s="453">
        <f>transport!I14</f>
        <v>0</v>
      </c>
      <c r="J9" s="453">
        <f>transport!J14</f>
        <v>0</v>
      </c>
      <c r="K9" s="453">
        <f>transport!K14</f>
        <v>0</v>
      </c>
      <c r="L9" s="453">
        <f>transport!L14</f>
        <v>0</v>
      </c>
      <c r="M9" s="453">
        <f>transport!M14</f>
        <v>3861.8599530097572</v>
      </c>
      <c r="N9" s="453">
        <f>transport!N14</f>
        <v>0</v>
      </c>
      <c r="O9" s="453">
        <f>transport!O14</f>
        <v>0</v>
      </c>
      <c r="P9" s="453">
        <f>transport!P14</f>
        <v>0</v>
      </c>
      <c r="Q9" s="452">
        <f>SUM(B9:P9)</f>
        <v>92993.019601506836</v>
      </c>
    </row>
    <row r="10" spans="1:17">
      <c r="A10" s="448" t="s">
        <v>552</v>
      </c>
      <c r="B10" s="449">
        <f>transport!B54</f>
        <v>6.0277481316295729</v>
      </c>
      <c r="C10" s="449">
        <f>transport!C54</f>
        <v>0</v>
      </c>
      <c r="D10" s="449">
        <f>transport!D54</f>
        <v>0</v>
      </c>
      <c r="E10" s="449">
        <f>transport!E54</f>
        <v>0</v>
      </c>
      <c r="F10" s="449">
        <f>transport!F54</f>
        <v>0</v>
      </c>
      <c r="G10" s="449">
        <f>transport!G54</f>
        <v>1307.659439419599</v>
      </c>
      <c r="H10" s="449">
        <f>transport!H54</f>
        <v>0</v>
      </c>
      <c r="I10" s="449">
        <f>transport!I54</f>
        <v>0</v>
      </c>
      <c r="J10" s="449">
        <f>transport!J54</f>
        <v>0</v>
      </c>
      <c r="K10" s="449">
        <f>transport!K54</f>
        <v>0</v>
      </c>
      <c r="L10" s="449">
        <f>transport!L54</f>
        <v>0</v>
      </c>
      <c r="M10" s="449">
        <f>transport!M54</f>
        <v>55.988954150396964</v>
      </c>
      <c r="N10" s="449">
        <f>transport!N54</f>
        <v>0</v>
      </c>
      <c r="O10" s="449">
        <f>transport!O54</f>
        <v>0</v>
      </c>
      <c r="P10" s="450">
        <f>transport!P54</f>
        <v>0</v>
      </c>
      <c r="Q10" s="448">
        <f t="shared" si="0"/>
        <v>1369.6761417016255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1903.40519299227</v>
      </c>
      <c r="C14" s="456"/>
      <c r="D14" s="456">
        <f>'SEAP template'!E25</f>
        <v>4247.21499579391</v>
      </c>
      <c r="E14" s="456"/>
      <c r="F14" s="456"/>
      <c r="G14" s="456"/>
      <c r="H14" s="456"/>
      <c r="I14" s="456"/>
      <c r="J14" s="456"/>
      <c r="K14" s="456"/>
      <c r="L14" s="456"/>
      <c r="M14" s="456"/>
      <c r="N14" s="456"/>
      <c r="O14" s="456"/>
      <c r="P14" s="457"/>
      <c r="Q14" s="448">
        <f t="shared" si="0"/>
        <v>6150.6201887861798</v>
      </c>
    </row>
    <row r="15" spans="1:17" s="461" customFormat="1">
      <c r="A15" s="458" t="s">
        <v>556</v>
      </c>
      <c r="B15" s="459">
        <f ca="1">SUM(B4:B14)</f>
        <v>86335.023863824114</v>
      </c>
      <c r="C15" s="459">
        <f t="shared" ref="C15:Q15" ca="1" si="1">SUM(C4:C14)</f>
        <v>16405.714285714286</v>
      </c>
      <c r="D15" s="459">
        <f t="shared" ca="1" si="1"/>
        <v>146804.09813528336</v>
      </c>
      <c r="E15" s="459">
        <f t="shared" si="1"/>
        <v>2399.8210598399801</v>
      </c>
      <c r="F15" s="459">
        <f t="shared" ca="1" si="1"/>
        <v>64314.28394510848</v>
      </c>
      <c r="G15" s="459">
        <f t="shared" si="1"/>
        <v>75991.00988106271</v>
      </c>
      <c r="H15" s="459">
        <f t="shared" si="1"/>
        <v>14004.600977349241</v>
      </c>
      <c r="I15" s="459">
        <f t="shared" si="1"/>
        <v>0</v>
      </c>
      <c r="J15" s="459">
        <f t="shared" si="1"/>
        <v>1347.0143573189662</v>
      </c>
      <c r="K15" s="459">
        <f t="shared" si="1"/>
        <v>0</v>
      </c>
      <c r="L15" s="459">
        <f t="shared" ca="1" si="1"/>
        <v>0</v>
      </c>
      <c r="M15" s="459">
        <f t="shared" si="1"/>
        <v>3917.8489071601543</v>
      </c>
      <c r="N15" s="459">
        <f t="shared" ca="1" si="1"/>
        <v>12617.754396036242</v>
      </c>
      <c r="O15" s="459">
        <f t="shared" si="1"/>
        <v>85.983333333333334</v>
      </c>
      <c r="P15" s="459">
        <f t="shared" si="1"/>
        <v>190.66666666666669</v>
      </c>
      <c r="Q15" s="459">
        <f t="shared" ca="1" si="1"/>
        <v>424413.8198086975</v>
      </c>
    </row>
    <row r="17" spans="1:17">
      <c r="A17" s="462" t="s">
        <v>557</v>
      </c>
      <c r="B17" s="766">
        <f ca="1">huishoudens!B10</f>
        <v>0.19728609163968955</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8081.8609519054562</v>
      </c>
      <c r="C22" s="449">
        <f t="shared" ref="C22:C32" ca="1" si="3">C4*$C$17</f>
        <v>0</v>
      </c>
      <c r="D22" s="449">
        <f t="shared" ref="D22:D32" si="4">D4*$D$17</f>
        <v>21613.777844423817</v>
      </c>
      <c r="E22" s="449">
        <f t="shared" ref="E22:E32" si="5">E4*$E$17</f>
        <v>311.87745672494935</v>
      </c>
      <c r="F22" s="449">
        <f t="shared" ref="F22:F32" si="6">F4*$F$17</f>
        <v>12521.651318805689</v>
      </c>
      <c r="G22" s="449">
        <f t="shared" ref="G22:G32" si="7">G4*$G$17</f>
        <v>0</v>
      </c>
      <c r="H22" s="449">
        <f t="shared" ref="H22:H32" si="8">H4*$H$17</f>
        <v>0</v>
      </c>
      <c r="I22" s="449">
        <f t="shared" ref="I22:I32" si="9">I4*$I$17</f>
        <v>0</v>
      </c>
      <c r="J22" s="449">
        <f t="shared" ref="J22:J32" si="10">J4*$J$17</f>
        <v>373.82909351296496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42902.996665372877</v>
      </c>
    </row>
    <row r="23" spans="1:17">
      <c r="A23" s="448" t="s">
        <v>155</v>
      </c>
      <c r="B23" s="449">
        <f t="shared" ca="1" si="2"/>
        <v>3731.8160092733124</v>
      </c>
      <c r="C23" s="449">
        <f t="shared" ca="1" si="3"/>
        <v>0</v>
      </c>
      <c r="D23" s="449">
        <f t="shared" ca="1" si="4"/>
        <v>5108.0128091674769</v>
      </c>
      <c r="E23" s="449">
        <f t="shared" si="5"/>
        <v>84.771511981038387</v>
      </c>
      <c r="F23" s="449">
        <f t="shared" ca="1" si="6"/>
        <v>965.64265240204202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9890.242982823871</v>
      </c>
    </row>
    <row r="24" spans="1:17">
      <c r="A24" s="448" t="s">
        <v>193</v>
      </c>
      <c r="B24" s="449">
        <f t="shared" ca="1" si="2"/>
        <v>241.37243082186112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241.37243082186112</v>
      </c>
    </row>
    <row r="25" spans="1:17">
      <c r="A25" s="448" t="s">
        <v>111</v>
      </c>
      <c r="B25" s="449">
        <f t="shared" ca="1" si="2"/>
        <v>401.5543007156964</v>
      </c>
      <c r="C25" s="449">
        <f t="shared" ca="1" si="3"/>
        <v>3898.7697478991599</v>
      </c>
      <c r="D25" s="449">
        <f t="shared" si="4"/>
        <v>0</v>
      </c>
      <c r="E25" s="449">
        <f t="shared" si="5"/>
        <v>4.8385171122251664</v>
      </c>
      <c r="F25" s="449">
        <f t="shared" si="6"/>
        <v>2326.3761523598687</v>
      </c>
      <c r="G25" s="449">
        <f t="shared" si="7"/>
        <v>0</v>
      </c>
      <c r="H25" s="449">
        <f t="shared" si="8"/>
        <v>0</v>
      </c>
      <c r="I25" s="449">
        <f t="shared" si="9"/>
        <v>0</v>
      </c>
      <c r="J25" s="449">
        <f t="shared" si="10"/>
        <v>64.349640026578186</v>
      </c>
      <c r="K25" s="449">
        <f t="shared" si="11"/>
        <v>0</v>
      </c>
      <c r="L25" s="449">
        <f t="shared" si="12"/>
        <v>0</v>
      </c>
      <c r="M25" s="449">
        <f t="shared" si="13"/>
        <v>0</v>
      </c>
      <c r="N25" s="449">
        <f t="shared" si="14"/>
        <v>0</v>
      </c>
      <c r="O25" s="449">
        <f t="shared" si="15"/>
        <v>0</v>
      </c>
      <c r="P25" s="450">
        <f t="shared" si="16"/>
        <v>0</v>
      </c>
      <c r="Q25" s="448">
        <f t="shared" ca="1" si="17"/>
        <v>6695.8883581135287</v>
      </c>
    </row>
    <row r="26" spans="1:17">
      <c r="A26" s="448" t="s">
        <v>643</v>
      </c>
      <c r="B26" s="449">
        <f t="shared" ca="1" si="2"/>
        <v>4199.175829142795</v>
      </c>
      <c r="C26" s="449">
        <f t="shared" ca="1" si="3"/>
        <v>0</v>
      </c>
      <c r="D26" s="449">
        <f t="shared" si="4"/>
        <v>2073.8233902503698</v>
      </c>
      <c r="E26" s="449">
        <f t="shared" si="5"/>
        <v>43.896215772860479</v>
      </c>
      <c r="F26" s="449">
        <f t="shared" si="6"/>
        <v>1358.2436897763635</v>
      </c>
      <c r="G26" s="449">
        <f t="shared" si="7"/>
        <v>0</v>
      </c>
      <c r="H26" s="449">
        <f t="shared" si="8"/>
        <v>0</v>
      </c>
      <c r="I26" s="449">
        <f t="shared" si="9"/>
        <v>0</v>
      </c>
      <c r="J26" s="449">
        <f t="shared" si="10"/>
        <v>38.66434895137094</v>
      </c>
      <c r="K26" s="449">
        <f t="shared" si="11"/>
        <v>0</v>
      </c>
      <c r="L26" s="449">
        <f t="shared" si="12"/>
        <v>0</v>
      </c>
      <c r="M26" s="449">
        <f t="shared" si="13"/>
        <v>0</v>
      </c>
      <c r="N26" s="449">
        <f t="shared" si="14"/>
        <v>0</v>
      </c>
      <c r="O26" s="449">
        <f t="shared" si="15"/>
        <v>0</v>
      </c>
      <c r="P26" s="450">
        <f t="shared" si="16"/>
        <v>0</v>
      </c>
      <c r="Q26" s="448">
        <f t="shared" ca="1" si="17"/>
        <v>7713.8034738937595</v>
      </c>
    </row>
    <row r="27" spans="1:17" s="454" customFormat="1">
      <c r="A27" s="452" t="s">
        <v>562</v>
      </c>
      <c r="B27" s="760">
        <f t="shared" ca="1" si="2"/>
        <v>0.21534565165418301</v>
      </c>
      <c r="C27" s="453">
        <f t="shared" ca="1" si="3"/>
        <v>0</v>
      </c>
      <c r="D27" s="453">
        <f t="shared" si="4"/>
        <v>0.87635033521120331</v>
      </c>
      <c r="E27" s="453">
        <f t="shared" si="5"/>
        <v>99.375678992602104</v>
      </c>
      <c r="F27" s="453">
        <f t="shared" si="6"/>
        <v>0</v>
      </c>
      <c r="G27" s="453">
        <f t="shared" si="7"/>
        <v>19940.45456791871</v>
      </c>
      <c r="H27" s="453">
        <f t="shared" si="8"/>
        <v>3487.145643359961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23528.067586258137</v>
      </c>
    </row>
    <row r="28" spans="1:17">
      <c r="A28" s="448" t="s">
        <v>552</v>
      </c>
      <c r="B28" s="449">
        <f t="shared" ca="1" si="2"/>
        <v>1.1891908702776395</v>
      </c>
      <c r="C28" s="449">
        <f t="shared" ca="1" si="3"/>
        <v>0</v>
      </c>
      <c r="D28" s="449">
        <f t="shared" si="4"/>
        <v>0</v>
      </c>
      <c r="E28" s="449">
        <f t="shared" si="5"/>
        <v>0</v>
      </c>
      <c r="F28" s="449">
        <f t="shared" si="6"/>
        <v>0</v>
      </c>
      <c r="G28" s="449">
        <f t="shared" si="7"/>
        <v>349.14507032503298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350.3342611953106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375.51537133213395</v>
      </c>
      <c r="C32" s="449">
        <f t="shared" ca="1" si="3"/>
        <v>0</v>
      </c>
      <c r="D32" s="449">
        <f t="shared" si="4"/>
        <v>857.93742915036989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1233.4528004825038</v>
      </c>
    </row>
    <row r="33" spans="1:17" s="461" customFormat="1">
      <c r="A33" s="458" t="s">
        <v>556</v>
      </c>
      <c r="B33" s="459">
        <f ca="1">SUM(B22:B32)</f>
        <v>17032.699429713186</v>
      </c>
      <c r="C33" s="459">
        <f t="shared" ref="C33:Q33" ca="1" si="19">SUM(C22:C32)</f>
        <v>3898.7697478991599</v>
      </c>
      <c r="D33" s="459">
        <f t="shared" ca="1" si="19"/>
        <v>29654.427823327249</v>
      </c>
      <c r="E33" s="459">
        <f t="shared" si="19"/>
        <v>544.75938058367547</v>
      </c>
      <c r="F33" s="459">
        <f t="shared" ca="1" si="19"/>
        <v>17171.913813343963</v>
      </c>
      <c r="G33" s="459">
        <f t="shared" si="19"/>
        <v>20289.599638243744</v>
      </c>
      <c r="H33" s="459">
        <f t="shared" si="19"/>
        <v>3487.145643359961</v>
      </c>
      <c r="I33" s="459">
        <f t="shared" si="19"/>
        <v>0</v>
      </c>
      <c r="J33" s="459">
        <f t="shared" si="19"/>
        <v>476.84308249091407</v>
      </c>
      <c r="K33" s="459">
        <f t="shared" si="19"/>
        <v>0</v>
      </c>
      <c r="L33" s="459">
        <f t="shared" ca="1" si="19"/>
        <v>0</v>
      </c>
      <c r="M33" s="459">
        <f t="shared" si="19"/>
        <v>0</v>
      </c>
      <c r="N33" s="459">
        <f t="shared" ca="1" si="19"/>
        <v>0</v>
      </c>
      <c r="O33" s="459">
        <f t="shared" si="19"/>
        <v>0</v>
      </c>
      <c r="P33" s="459">
        <f t="shared" si="19"/>
        <v>0</v>
      </c>
      <c r="Q33" s="459">
        <f t="shared" ca="1" si="19"/>
        <v>92556.158558961848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7598.5958320085565</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2530.4343386762907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11484</v>
      </c>
      <c r="D8" s="1008">
        <f>'SEAP template'!D76</f>
        <v>13510.588235294117</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2729.1388235294116</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10129.030170684848</v>
      </c>
      <c r="C10" s="1012">
        <f>SUM(C4:C9)</f>
        <v>11484</v>
      </c>
      <c r="D10" s="1012">
        <f t="shared" ref="D10:H10" si="0">SUM(D8:D9)</f>
        <v>13510.588235294117</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2729.1388235294116</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0.19728609163968955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16405.714285714286</v>
      </c>
      <c r="D17" s="1009">
        <f>'SEAP template'!D87</f>
        <v>19300.840336134454</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3898.7697478991599</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16405.714285714286</v>
      </c>
      <c r="D20" s="1012">
        <f t="shared" ref="D20:H20" si="2">SUM(D17:D19)</f>
        <v>19300.840336134454</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3898.7697478991599</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0.19728609163968955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0.19728609163968955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0.19728609163968955</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9970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1602</v>
      </c>
      <c r="C14" s="326"/>
      <c r="D14" s="326"/>
      <c r="E14" s="326"/>
      <c r="F14" s="326"/>
    </row>
    <row r="15" spans="1:6">
      <c r="A15" s="1282" t="s">
        <v>183</v>
      </c>
      <c r="B15" s="1283">
        <v>19</v>
      </c>
      <c r="C15" s="326"/>
      <c r="D15" s="326"/>
      <c r="E15" s="326"/>
      <c r="F15" s="326"/>
    </row>
    <row r="16" spans="1:6">
      <c r="A16" s="1282" t="s">
        <v>6</v>
      </c>
      <c r="B16" s="1283">
        <v>581</v>
      </c>
      <c r="C16" s="326"/>
      <c r="D16" s="326"/>
      <c r="E16" s="326"/>
      <c r="F16" s="326"/>
    </row>
    <row r="17" spans="1:6">
      <c r="A17" s="1282" t="s">
        <v>7</v>
      </c>
      <c r="B17" s="1283">
        <v>609</v>
      </c>
      <c r="C17" s="326"/>
      <c r="D17" s="326"/>
      <c r="E17" s="326"/>
      <c r="F17" s="326"/>
    </row>
    <row r="18" spans="1:6">
      <c r="A18" s="1282" t="s">
        <v>8</v>
      </c>
      <c r="B18" s="1283">
        <v>763</v>
      </c>
      <c r="C18" s="326"/>
      <c r="D18" s="326"/>
      <c r="E18" s="326"/>
      <c r="F18" s="326"/>
    </row>
    <row r="19" spans="1:6">
      <c r="A19" s="1282" t="s">
        <v>9</v>
      </c>
      <c r="B19" s="1283">
        <v>713</v>
      </c>
      <c r="C19" s="326"/>
      <c r="D19" s="326"/>
      <c r="E19" s="326"/>
      <c r="F19" s="326"/>
    </row>
    <row r="20" spans="1:6">
      <c r="A20" s="1282" t="s">
        <v>10</v>
      </c>
      <c r="B20" s="1283">
        <v>555</v>
      </c>
      <c r="C20" s="326"/>
      <c r="D20" s="326"/>
      <c r="E20" s="326"/>
      <c r="F20" s="326"/>
    </row>
    <row r="21" spans="1:6">
      <c r="A21" s="1282" t="s">
        <v>11</v>
      </c>
      <c r="B21" s="1283">
        <v>1698</v>
      </c>
      <c r="C21" s="326"/>
      <c r="D21" s="326"/>
      <c r="E21" s="326"/>
      <c r="F21" s="326"/>
    </row>
    <row r="22" spans="1:6">
      <c r="A22" s="1282" t="s">
        <v>12</v>
      </c>
      <c r="B22" s="1283">
        <v>9338</v>
      </c>
      <c r="C22" s="326"/>
      <c r="D22" s="326"/>
      <c r="E22" s="326"/>
      <c r="F22" s="326"/>
    </row>
    <row r="23" spans="1:6">
      <c r="A23" s="1282" t="s">
        <v>13</v>
      </c>
      <c r="B23" s="1283">
        <v>170</v>
      </c>
      <c r="C23" s="326"/>
      <c r="D23" s="326"/>
      <c r="E23" s="326"/>
      <c r="F23" s="326"/>
    </row>
    <row r="24" spans="1:6">
      <c r="A24" s="1282" t="s">
        <v>14</v>
      </c>
      <c r="B24" s="1283">
        <v>6</v>
      </c>
      <c r="C24" s="326"/>
      <c r="D24" s="326"/>
      <c r="E24" s="326"/>
      <c r="F24" s="326"/>
    </row>
    <row r="25" spans="1:6">
      <c r="A25" s="1282" t="s">
        <v>15</v>
      </c>
      <c r="B25" s="1283">
        <v>360</v>
      </c>
      <c r="C25" s="326"/>
      <c r="D25" s="326"/>
      <c r="E25" s="326"/>
      <c r="F25" s="326"/>
    </row>
    <row r="26" spans="1:6">
      <c r="A26" s="1282" t="s">
        <v>16</v>
      </c>
      <c r="B26" s="1283">
        <v>68</v>
      </c>
      <c r="C26" s="326"/>
      <c r="D26" s="326"/>
      <c r="E26" s="326"/>
      <c r="F26" s="326"/>
    </row>
    <row r="27" spans="1:6">
      <c r="A27" s="1282" t="s">
        <v>17</v>
      </c>
      <c r="B27" s="1283">
        <v>8</v>
      </c>
      <c r="C27" s="326"/>
      <c r="D27" s="326"/>
      <c r="E27" s="326"/>
      <c r="F27" s="326"/>
    </row>
    <row r="28" spans="1:6" s="43" customFormat="1">
      <c r="A28" s="1284" t="s">
        <v>18</v>
      </c>
      <c r="B28" s="1285">
        <v>0</v>
      </c>
      <c r="C28" s="332"/>
      <c r="D28" s="332"/>
      <c r="E28" s="332"/>
      <c r="F28" s="332"/>
    </row>
    <row r="29" spans="1:6">
      <c r="A29" s="1284" t="s">
        <v>978</v>
      </c>
      <c r="B29" s="1285">
        <v>209</v>
      </c>
      <c r="C29" s="332"/>
      <c r="D29" s="332"/>
      <c r="E29" s="332"/>
      <c r="F29" s="332"/>
    </row>
    <row r="30" spans="1:6">
      <c r="A30" s="1277" t="s">
        <v>979</v>
      </c>
      <c r="B30" s="1286">
        <v>66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22541650.996599998</v>
      </c>
      <c r="E38" s="1283">
        <v>3</v>
      </c>
      <c r="F38" s="1283">
        <v>8284.2488854887997</v>
      </c>
    </row>
    <row r="39" spans="1:6">
      <c r="A39" s="1282" t="s">
        <v>29</v>
      </c>
      <c r="B39" s="1282" t="s">
        <v>30</v>
      </c>
      <c r="C39" s="1283">
        <v>7488</v>
      </c>
      <c r="D39" s="1283">
        <v>118624057.893481</v>
      </c>
      <c r="E39" s="1283">
        <v>9826</v>
      </c>
      <c r="F39" s="1283">
        <v>39047967.974599302</v>
      </c>
    </row>
    <row r="40" spans="1:6">
      <c r="A40" s="1282" t="s">
        <v>29</v>
      </c>
      <c r="B40" s="1282" t="s">
        <v>28</v>
      </c>
      <c r="C40" s="1283">
        <v>0</v>
      </c>
      <c r="D40" s="1283">
        <v>0</v>
      </c>
      <c r="E40" s="1283">
        <v>0</v>
      </c>
      <c r="F40" s="1283">
        <v>0</v>
      </c>
    </row>
    <row r="41" spans="1:6">
      <c r="A41" s="1282" t="s">
        <v>31</v>
      </c>
      <c r="B41" s="1282" t="s">
        <v>32</v>
      </c>
      <c r="C41" s="1283">
        <v>106</v>
      </c>
      <c r="D41" s="1283">
        <v>2322899.99210705</v>
      </c>
      <c r="E41" s="1283">
        <v>215</v>
      </c>
      <c r="F41" s="1283">
        <v>2441092.5747437701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5</v>
      </c>
      <c r="D44" s="1283">
        <v>75999.311681708801</v>
      </c>
      <c r="E44" s="1283">
        <v>23</v>
      </c>
      <c r="F44" s="1283">
        <v>378786.45822023699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7</v>
      </c>
      <c r="F47" s="1283">
        <v>85237.638016166398</v>
      </c>
    </row>
    <row r="48" spans="1:6">
      <c r="A48" s="1282" t="s">
        <v>31</v>
      </c>
      <c r="B48" s="1282" t="s">
        <v>28</v>
      </c>
      <c r="C48" s="1283">
        <v>34</v>
      </c>
      <c r="D48" s="1283">
        <v>8626950.7282056808</v>
      </c>
      <c r="E48" s="1283">
        <v>38</v>
      </c>
      <c r="F48" s="1283">
        <v>14166784.447641799</v>
      </c>
    </row>
    <row r="49" spans="1:6">
      <c r="A49" s="1282" t="s">
        <v>31</v>
      </c>
      <c r="B49" s="1282" t="s">
        <v>39</v>
      </c>
      <c r="C49" s="1283">
        <v>0</v>
      </c>
      <c r="D49" s="1283">
        <v>0</v>
      </c>
      <c r="E49" s="1283">
        <v>8</v>
      </c>
      <c r="F49" s="1283">
        <v>2805539.3177343002</v>
      </c>
    </row>
    <row r="50" spans="1:6">
      <c r="A50" s="1282" t="s">
        <v>31</v>
      </c>
      <c r="B50" s="1282" t="s">
        <v>40</v>
      </c>
      <c r="C50" s="1283">
        <v>9</v>
      </c>
      <c r="D50" s="1283">
        <v>356026.27286368498</v>
      </c>
      <c r="E50" s="1283">
        <v>17</v>
      </c>
      <c r="F50" s="1283">
        <v>1407262.37387475</v>
      </c>
    </row>
    <row r="51" spans="1:6">
      <c r="A51" s="1282" t="s">
        <v>41</v>
      </c>
      <c r="B51" s="1282" t="s">
        <v>42</v>
      </c>
      <c r="C51" s="1283">
        <v>15</v>
      </c>
      <c r="D51" s="1283">
        <v>23952744.408301398</v>
      </c>
      <c r="E51" s="1283">
        <v>111</v>
      </c>
      <c r="F51" s="1283">
        <v>2014832.1580781499</v>
      </c>
    </row>
    <row r="52" spans="1:6">
      <c r="A52" s="1282" t="s">
        <v>41</v>
      </c>
      <c r="B52" s="1282" t="s">
        <v>28</v>
      </c>
      <c r="C52" s="1283">
        <v>5</v>
      </c>
      <c r="D52" s="1283">
        <v>108029.574334766</v>
      </c>
      <c r="E52" s="1283">
        <v>1</v>
      </c>
      <c r="F52" s="1283">
        <v>20558.666375248398</v>
      </c>
    </row>
    <row r="53" spans="1:6">
      <c r="A53" s="1282" t="s">
        <v>43</v>
      </c>
      <c r="B53" s="1282" t="s">
        <v>44</v>
      </c>
      <c r="C53" s="1283">
        <v>267</v>
      </c>
      <c r="D53" s="1283">
        <v>4247214.9957939098</v>
      </c>
      <c r="E53" s="1283">
        <v>370</v>
      </c>
      <c r="F53" s="1283">
        <v>1903405.19299227</v>
      </c>
    </row>
    <row r="54" spans="1:6">
      <c r="A54" s="1282" t="s">
        <v>45</v>
      </c>
      <c r="B54" s="1282" t="s">
        <v>46</v>
      </c>
      <c r="C54" s="1283">
        <v>0</v>
      </c>
      <c r="D54" s="1283">
        <v>0</v>
      </c>
      <c r="E54" s="1283">
        <v>1</v>
      </c>
      <c r="F54" s="1283">
        <v>1223464</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41</v>
      </c>
      <c r="D57" s="1283">
        <v>1223412.5162490001</v>
      </c>
      <c r="E57" s="1283">
        <v>71</v>
      </c>
      <c r="F57" s="1283">
        <v>2010367.7152476499</v>
      </c>
    </row>
    <row r="58" spans="1:6">
      <c r="A58" s="1282" t="s">
        <v>48</v>
      </c>
      <c r="B58" s="1282" t="s">
        <v>50</v>
      </c>
      <c r="C58" s="1283">
        <v>32</v>
      </c>
      <c r="D58" s="1283">
        <v>1831935.7558746899</v>
      </c>
      <c r="E58" s="1283">
        <v>47</v>
      </c>
      <c r="F58" s="1283">
        <v>627944.19633844297</v>
      </c>
    </row>
    <row r="59" spans="1:6">
      <c r="A59" s="1282" t="s">
        <v>48</v>
      </c>
      <c r="B59" s="1282" t="s">
        <v>51</v>
      </c>
      <c r="C59" s="1283">
        <v>129</v>
      </c>
      <c r="D59" s="1283">
        <v>4370212.35662237</v>
      </c>
      <c r="E59" s="1283">
        <v>288</v>
      </c>
      <c r="F59" s="1283">
        <v>6796608.6582932305</v>
      </c>
    </row>
    <row r="60" spans="1:6">
      <c r="A60" s="1282" t="s">
        <v>48</v>
      </c>
      <c r="B60" s="1282" t="s">
        <v>52</v>
      </c>
      <c r="C60" s="1283">
        <v>73</v>
      </c>
      <c r="D60" s="1283">
        <v>2675939.3666427298</v>
      </c>
      <c r="E60" s="1283">
        <v>96</v>
      </c>
      <c r="F60" s="1283">
        <v>1953066.21541104</v>
      </c>
    </row>
    <row r="61" spans="1:6">
      <c r="A61" s="1282" t="s">
        <v>48</v>
      </c>
      <c r="B61" s="1282" t="s">
        <v>53</v>
      </c>
      <c r="C61" s="1283">
        <v>162</v>
      </c>
      <c r="D61" s="1283">
        <v>9110857.2051819004</v>
      </c>
      <c r="E61" s="1283">
        <v>370</v>
      </c>
      <c r="F61" s="1283">
        <v>4811408.8584938496</v>
      </c>
    </row>
    <row r="62" spans="1:6">
      <c r="A62" s="1282" t="s">
        <v>48</v>
      </c>
      <c r="B62" s="1282" t="s">
        <v>54</v>
      </c>
      <c r="C62" s="1283">
        <v>23</v>
      </c>
      <c r="D62" s="1283">
        <v>3313239.6286955299</v>
      </c>
      <c r="E62" s="1283">
        <v>26</v>
      </c>
      <c r="F62" s="1283">
        <v>523130.66865530598</v>
      </c>
    </row>
    <row r="63" spans="1:6">
      <c r="A63" s="1282" t="s">
        <v>48</v>
      </c>
      <c r="B63" s="1282" t="s">
        <v>28</v>
      </c>
      <c r="C63" s="1283">
        <v>101</v>
      </c>
      <c r="D63" s="1283">
        <v>5508984.2401256496</v>
      </c>
      <c r="E63" s="1283">
        <v>102</v>
      </c>
      <c r="F63" s="1283">
        <v>2193231.9057771899</v>
      </c>
    </row>
    <row r="64" spans="1:6">
      <c r="A64" s="1282" t="s">
        <v>55</v>
      </c>
      <c r="B64" s="1282" t="s">
        <v>56</v>
      </c>
      <c r="C64" s="1283">
        <v>0</v>
      </c>
      <c r="D64" s="1283">
        <v>0</v>
      </c>
      <c r="E64" s="1283">
        <v>0</v>
      </c>
      <c r="F64" s="1283">
        <v>0</v>
      </c>
    </row>
    <row r="65" spans="1:6">
      <c r="A65" s="1282" t="s">
        <v>55</v>
      </c>
      <c r="B65" s="1282" t="s">
        <v>28</v>
      </c>
      <c r="C65" s="1283">
        <v>0</v>
      </c>
      <c r="D65" s="1283">
        <v>0</v>
      </c>
      <c r="E65" s="1283">
        <v>2</v>
      </c>
      <c r="F65" s="1283">
        <v>18727.155363120899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11</v>
      </c>
      <c r="D68" s="1286">
        <v>484671.50777931802</v>
      </c>
      <c r="E68" s="1286">
        <v>17</v>
      </c>
      <c r="F68" s="1286">
        <v>635244.73373368604</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56765392</v>
      </c>
      <c r="E73" s="447"/>
      <c r="F73" s="326"/>
    </row>
    <row r="74" spans="1:6">
      <c r="A74" s="1282" t="s">
        <v>63</v>
      </c>
      <c r="B74" s="1282" t="s">
        <v>760</v>
      </c>
      <c r="C74" s="1296" t="s">
        <v>761</v>
      </c>
      <c r="D74" s="1297">
        <v>6053218.1427260106</v>
      </c>
      <c r="E74" s="447"/>
      <c r="F74" s="326"/>
    </row>
    <row r="75" spans="1:6">
      <c r="A75" s="1282" t="s">
        <v>64</v>
      </c>
      <c r="B75" s="1282" t="s">
        <v>758</v>
      </c>
      <c r="C75" s="1296" t="s">
        <v>762</v>
      </c>
      <c r="D75" s="1297">
        <v>42976646</v>
      </c>
      <c r="E75" s="447"/>
      <c r="F75" s="326"/>
    </row>
    <row r="76" spans="1:6">
      <c r="A76" s="1282" t="s">
        <v>64</v>
      </c>
      <c r="B76" s="1282" t="s">
        <v>760</v>
      </c>
      <c r="C76" s="1296" t="s">
        <v>763</v>
      </c>
      <c r="D76" s="1297">
        <v>640366.14272601041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358653.71454797918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7598.5958320085565</v>
      </c>
      <c r="C90" s="326"/>
      <c r="D90" s="326"/>
      <c r="E90" s="326"/>
      <c r="F90" s="326"/>
    </row>
    <row r="91" spans="1:6">
      <c r="A91" s="1282" t="s">
        <v>67</v>
      </c>
      <c r="B91" s="1283">
        <v>1917.2155552444551</v>
      </c>
      <c r="C91" s="326"/>
      <c r="D91" s="326"/>
      <c r="E91" s="326"/>
      <c r="F91" s="326"/>
    </row>
    <row r="92" spans="1:6">
      <c r="A92" s="1277" t="s">
        <v>68</v>
      </c>
      <c r="B92" s="1278">
        <v>613.21878343183573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5114</v>
      </c>
      <c r="C97" s="326"/>
      <c r="D97" s="326"/>
      <c r="E97" s="326"/>
      <c r="F97" s="326"/>
    </row>
    <row r="98" spans="1:6">
      <c r="A98" s="1282" t="s">
        <v>71</v>
      </c>
      <c r="B98" s="1283">
        <v>0</v>
      </c>
      <c r="C98" s="326"/>
      <c r="D98" s="326"/>
      <c r="E98" s="326"/>
      <c r="F98" s="326"/>
    </row>
    <row r="99" spans="1:6">
      <c r="A99" s="1282" t="s">
        <v>72</v>
      </c>
      <c r="B99" s="1283">
        <v>68</v>
      </c>
      <c r="C99" s="326"/>
      <c r="D99" s="326"/>
      <c r="E99" s="326"/>
      <c r="F99" s="326"/>
    </row>
    <row r="100" spans="1:6">
      <c r="A100" s="1282" t="s">
        <v>73</v>
      </c>
      <c r="B100" s="1283">
        <v>557</v>
      </c>
      <c r="C100" s="326"/>
      <c r="D100" s="326"/>
      <c r="E100" s="326"/>
      <c r="F100" s="326"/>
    </row>
    <row r="101" spans="1:6">
      <c r="A101" s="1282" t="s">
        <v>74</v>
      </c>
      <c r="B101" s="1283">
        <v>137</v>
      </c>
      <c r="C101" s="326"/>
      <c r="D101" s="326"/>
      <c r="E101" s="326"/>
      <c r="F101" s="326"/>
    </row>
    <row r="102" spans="1:6">
      <c r="A102" s="1282" t="s">
        <v>75</v>
      </c>
      <c r="B102" s="1283">
        <v>190</v>
      </c>
      <c r="C102" s="326"/>
      <c r="D102" s="326"/>
      <c r="E102" s="326"/>
      <c r="F102" s="326"/>
    </row>
    <row r="103" spans="1:6">
      <c r="A103" s="1282" t="s">
        <v>76</v>
      </c>
      <c r="B103" s="1283">
        <v>369</v>
      </c>
      <c r="C103" s="326"/>
      <c r="D103" s="326"/>
      <c r="E103" s="326"/>
      <c r="F103" s="326"/>
    </row>
    <row r="104" spans="1:6">
      <c r="A104" s="1282" t="s">
        <v>77</v>
      </c>
      <c r="B104" s="1283">
        <v>2299</v>
      </c>
      <c r="C104" s="326"/>
      <c r="D104" s="326"/>
      <c r="E104" s="326"/>
      <c r="F104" s="326"/>
    </row>
    <row r="105" spans="1:6">
      <c r="A105" s="1277" t="s">
        <v>78</v>
      </c>
      <c r="B105" s="128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5</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51</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86335.023863824099</v>
      </c>
      <c r="C3" s="43" t="s">
        <v>169</v>
      </c>
      <c r="D3" s="43"/>
      <c r="E3" s="156"/>
      <c r="F3" s="43"/>
      <c r="G3" s="43"/>
      <c r="H3" s="43"/>
      <c r="I3" s="43"/>
      <c r="J3" s="43"/>
      <c r="K3" s="96"/>
    </row>
    <row r="4" spans="1:11">
      <c r="A4" s="354" t="s">
        <v>170</v>
      </c>
      <c r="B4" s="49">
        <f>IF(ISERROR('SEAP template'!B78+'SEAP template'!C78),0,'SEAP template'!B78+'SEAP template'!C78)</f>
        <v>21613.030170684848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2729.1388235294116</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0.19728609163968955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3898.7697478991599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16405.714285714286</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1223.4639999999999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1223.4639999999999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0.19728609163968955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241.37243082186112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39047.967974599305</v>
      </c>
      <c r="C5" s="17">
        <f>IF(ISERROR('Eigen informatie GS &amp; warmtenet'!B57),0,'Eigen informatie GS &amp; warmtenet'!B57)</f>
        <v>0</v>
      </c>
      <c r="D5" s="30">
        <f>(SUM(HH_hh_gas_kWh,HH_rest_gas_kWh)/1000)*0.902</f>
        <v>106998.90021991987</v>
      </c>
      <c r="E5" s="17">
        <f>B32*B41</f>
        <v>1373.9095009909663</v>
      </c>
      <c r="F5" s="17">
        <f>B36*B45</f>
        <v>46897.570482418305</v>
      </c>
      <c r="G5" s="18"/>
      <c r="H5" s="17"/>
      <c r="I5" s="17"/>
      <c r="J5" s="17">
        <f>B35*B44+C35*C44</f>
        <v>1056.0143884547033</v>
      </c>
      <c r="K5" s="17"/>
      <c r="L5" s="17"/>
      <c r="M5" s="17"/>
      <c r="N5" s="17">
        <f>B34*B43+C34*C43</f>
        <v>11567.087196679551</v>
      </c>
      <c r="O5" s="17">
        <f>B52*B53*B54</f>
        <v>85.983333333333334</v>
      </c>
      <c r="P5" s="17">
        <f>B60*B61*B62/1000-B60*B61*B62/1000/B63</f>
        <v>190.66666666666669</v>
      </c>
    </row>
    <row r="6" spans="1:16">
      <c r="A6" s="16" t="s">
        <v>621</v>
      </c>
      <c r="B6" s="768">
        <f>kWh_PV_kleiner_dan_10kW</f>
        <v>1917.2155552444551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40965.183529843758</v>
      </c>
      <c r="C8" s="21">
        <f>C5</f>
        <v>0</v>
      </c>
      <c r="D8" s="21">
        <f>D5</f>
        <v>106998.90021991987</v>
      </c>
      <c r="E8" s="21">
        <f>E5</f>
        <v>1373.9095009909663</v>
      </c>
      <c r="F8" s="21">
        <f>F5</f>
        <v>46897.570482418305</v>
      </c>
      <c r="G8" s="21"/>
      <c r="H8" s="21"/>
      <c r="I8" s="21"/>
      <c r="J8" s="21">
        <f>J5</f>
        <v>1056.0143884547033</v>
      </c>
      <c r="K8" s="21"/>
      <c r="L8" s="21">
        <f>L5</f>
        <v>0</v>
      </c>
      <c r="M8" s="21">
        <f>M5</f>
        <v>0</v>
      </c>
      <c r="N8" s="21">
        <f>N5</f>
        <v>11567.087196679551</v>
      </c>
      <c r="O8" s="21">
        <f>O5</f>
        <v>85.983333333333334</v>
      </c>
      <c r="P8" s="21">
        <f>P5</f>
        <v>190.66666666666669</v>
      </c>
    </row>
    <row r="9" spans="1:16">
      <c r="B9" s="19"/>
      <c r="C9" s="19"/>
      <c r="D9" s="256"/>
      <c r="E9" s="19"/>
      <c r="F9" s="19"/>
      <c r="G9" s="19"/>
      <c r="H9" s="19"/>
      <c r="I9" s="19"/>
      <c r="J9" s="19"/>
      <c r="K9" s="19"/>
      <c r="L9" s="19"/>
      <c r="M9" s="19"/>
      <c r="N9" s="19"/>
      <c r="O9" s="19"/>
      <c r="P9" s="19"/>
    </row>
    <row r="10" spans="1:16">
      <c r="A10" s="24" t="s">
        <v>213</v>
      </c>
      <c r="B10" s="25">
        <f ca="1">'EF ele_warmte'!B12</f>
        <v>0.19728609163968955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8081.8609519054562</v>
      </c>
      <c r="C12" s="23">
        <f ca="1">C10*C8</f>
        <v>0</v>
      </c>
      <c r="D12" s="23">
        <f>D8*D10</f>
        <v>21613.777844423817</v>
      </c>
      <c r="E12" s="23">
        <f>E10*E8</f>
        <v>311.87745672494935</v>
      </c>
      <c r="F12" s="23">
        <f>F10*F8</f>
        <v>12521.651318805689</v>
      </c>
      <c r="G12" s="23"/>
      <c r="H12" s="23"/>
      <c r="I12" s="23"/>
      <c r="J12" s="23">
        <f>J10*J8</f>
        <v>373.82909351296496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9970</v>
      </c>
      <c r="C26" s="36"/>
      <c r="D26" s="226"/>
    </row>
    <row r="27" spans="1:5" s="15" customFormat="1">
      <c r="A27" s="228" t="s">
        <v>701</v>
      </c>
      <c r="B27" s="37">
        <f>SUM(HH_hh_gas_aantal,HH_rest_gas_aantal)</f>
        <v>7488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7113.6</v>
      </c>
      <c r="C31" s="34" t="s">
        <v>110</v>
      </c>
      <c r="D31" s="172"/>
    </row>
    <row r="32" spans="1:5">
      <c r="A32" s="169" t="s">
        <v>72</v>
      </c>
      <c r="B32" s="33">
        <f>IF((B21*($B$26-($B$27-0.05*$B$27)-$B$60))&lt;0,0,B21*($B$26-($B$27-0.05*$B$27)-$B$60))</f>
        <v>20.179748209111168</v>
      </c>
      <c r="C32" s="34" t="s">
        <v>110</v>
      </c>
      <c r="D32" s="172"/>
    </row>
    <row r="33" spans="1:6">
      <c r="A33" s="169" t="s">
        <v>73</v>
      </c>
      <c r="B33" s="33">
        <f>IF((B22*($B$26-($B$27-0.05*$B$27)-$B$60))&lt;0,0,B22*($B$26-($B$27-0.05*$B$27)-$B$60))</f>
        <v>578.34883812915211</v>
      </c>
      <c r="C33" s="34" t="s">
        <v>110</v>
      </c>
      <c r="D33" s="172"/>
    </row>
    <row r="34" spans="1:6">
      <c r="A34" s="169" t="s">
        <v>74</v>
      </c>
      <c r="B34" s="33">
        <f>IF((B24*($B$26-($B$27-0.05*$B$27)-$B$60))&lt;0,0,B24*($B$26-($B$27-0.05*$B$27)-$B$60))</f>
        <v>115.32887049802774</v>
      </c>
      <c r="C34" s="33">
        <f>B26*C24</f>
        <v>2038.6418188580924</v>
      </c>
      <c r="D34" s="231"/>
    </row>
    <row r="35" spans="1:6">
      <c r="A35" s="169" t="s">
        <v>76</v>
      </c>
      <c r="B35" s="33">
        <f>IF((B19*($B$26-($B$27-0.05*$B$27)-$B$60))&lt;0,0,B19*($B$26-($B$27-0.05*$B$27)-$B$60))</f>
        <v>60.058774431878476</v>
      </c>
      <c r="C35" s="33">
        <f>B35/2</f>
        <v>30.029387215939238</v>
      </c>
      <c r="D35" s="231"/>
    </row>
    <row r="36" spans="1:6">
      <c r="A36" s="169" t="s">
        <v>77</v>
      </c>
      <c r="B36" s="33">
        <f>IF((B18*($B$26-($B$27-0.05*$B$27)-$B$60))&lt;0,0,B18*($B$26-($B$27-0.05*$B$27)-$B$60))</f>
        <v>2072.48376873183</v>
      </c>
      <c r="C36" s="34" t="s">
        <v>110</v>
      </c>
      <c r="D36" s="172"/>
    </row>
    <row r="37" spans="1:6">
      <c r="A37" s="169" t="s">
        <v>78</v>
      </c>
      <c r="B37" s="33">
        <f>B60</f>
        <v>10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18915.75821821671</v>
      </c>
      <c r="C5" s="17">
        <f>IF(ISERROR('Eigen informatie GS &amp; warmtenet'!B58),0,'Eigen informatie GS &amp; warmtenet'!B58)</f>
        <v>0</v>
      </c>
      <c r="D5" s="30">
        <f>SUM(D6:D12)</f>
        <v>25287.192124591467</v>
      </c>
      <c r="E5" s="17">
        <f>SUM(E6:E12)</f>
        <v>373.44278405743779</v>
      </c>
      <c r="F5" s="17">
        <f>SUM(F6:F12)</f>
        <v>3616.6391475731907</v>
      </c>
      <c r="G5" s="18"/>
      <c r="H5" s="17"/>
      <c r="I5" s="17"/>
      <c r="J5" s="17">
        <f>SUM(J6:J12)</f>
        <v>0</v>
      </c>
      <c r="K5" s="17"/>
      <c r="L5" s="17"/>
      <c r="M5" s="17"/>
      <c r="N5" s="17">
        <f>SUM(N6:N12)</f>
        <v>572.89067443885961</v>
      </c>
      <c r="O5" s="17">
        <f>B38*B39*B40</f>
        <v>0</v>
      </c>
      <c r="P5" s="17">
        <f>B46*B47*B48/1000-B46*B47*B48/1000/B49</f>
        <v>0</v>
      </c>
      <c r="R5" s="32"/>
    </row>
    <row r="6" spans="1:18">
      <c r="A6" s="32" t="s">
        <v>53</v>
      </c>
      <c r="B6" s="37">
        <f>B26</f>
        <v>4811.4088584938499</v>
      </c>
      <c r="C6" s="33"/>
      <c r="D6" s="37">
        <f>IF(ISERROR(TER_kantoor_gas_kWh/1000),0,TER_kantoor_gas_kWh/1000)*0.902</f>
        <v>8217.9931990740752</v>
      </c>
      <c r="E6" s="33">
        <f>$C$26*'E Balans VL '!I12/100/3.6*1000000</f>
        <v>168.4182369106926</v>
      </c>
      <c r="F6" s="33">
        <f>$C$26*('E Balans VL '!L12+'E Balans VL '!N12)/100/3.6*1000000</f>
        <v>729.51288288361286</v>
      </c>
      <c r="G6" s="34"/>
      <c r="H6" s="33"/>
      <c r="I6" s="33"/>
      <c r="J6" s="33">
        <f>$C$26*('E Balans VL '!D12+'E Balans VL '!E12)/100/3.6*1000000</f>
        <v>0</v>
      </c>
      <c r="K6" s="33"/>
      <c r="L6" s="33"/>
      <c r="M6" s="33"/>
      <c r="N6" s="33">
        <f>$C$26*'E Balans VL '!Y12/100/3.6*1000000</f>
        <v>37.190684546629797</v>
      </c>
      <c r="O6" s="33"/>
      <c r="P6" s="33"/>
      <c r="R6" s="32"/>
    </row>
    <row r="7" spans="1:18">
      <c r="A7" s="32" t="s">
        <v>52</v>
      </c>
      <c r="B7" s="37">
        <f t="shared" ref="B7:B12" si="0">B27</f>
        <v>1953.06621541104</v>
      </c>
      <c r="C7" s="33"/>
      <c r="D7" s="37">
        <f>IF(ISERROR(TER_horeca_gas_kWh/1000),0,TER_horeca_gas_kWh/1000)*0.902</f>
        <v>2413.6973087117426</v>
      </c>
      <c r="E7" s="33">
        <f>$C$27*'E Balans VL '!I9/100/3.6*1000000</f>
        <v>110.17890400521345</v>
      </c>
      <c r="F7" s="33">
        <f>$C$27*('E Balans VL '!L9+'E Balans VL '!N9)/100/3.6*1000000</f>
        <v>340.23494313181271</v>
      </c>
      <c r="G7" s="34"/>
      <c r="H7" s="33"/>
      <c r="I7" s="33"/>
      <c r="J7" s="33">
        <f>$C$27*('E Balans VL '!D9+'E Balans VL '!E9)/100/3.6*1000000</f>
        <v>0</v>
      </c>
      <c r="K7" s="33"/>
      <c r="L7" s="33"/>
      <c r="M7" s="33"/>
      <c r="N7" s="33">
        <f>$C$27*'E Balans VL '!Y9/100/3.6*1000000</f>
        <v>0</v>
      </c>
      <c r="O7" s="33"/>
      <c r="P7" s="33"/>
      <c r="R7" s="32"/>
    </row>
    <row r="8" spans="1:18">
      <c r="A8" s="6" t="s">
        <v>51</v>
      </c>
      <c r="B8" s="37">
        <f t="shared" si="0"/>
        <v>6796.6086582932303</v>
      </c>
      <c r="C8" s="33"/>
      <c r="D8" s="37">
        <f>IF(ISERROR(TER_handel_gas_kWh/1000),0,TER_handel_gas_kWh/1000)*0.902</f>
        <v>3941.931545673378</v>
      </c>
      <c r="E8" s="33">
        <f>$C$28*'E Balans VL '!I13/100/3.6*1000000</f>
        <v>34.893098326252712</v>
      </c>
      <c r="F8" s="33">
        <f>$C$28*('E Balans VL '!L13+'E Balans VL '!N13)/100/3.6*1000000</f>
        <v>1047.9320367244377</v>
      </c>
      <c r="G8" s="34"/>
      <c r="H8" s="33"/>
      <c r="I8" s="33"/>
      <c r="J8" s="33">
        <f>$C$28*('E Balans VL '!D13+'E Balans VL '!E13)/100/3.6*1000000</f>
        <v>0</v>
      </c>
      <c r="K8" s="33"/>
      <c r="L8" s="33"/>
      <c r="M8" s="33"/>
      <c r="N8" s="33">
        <f>$C$28*'E Balans VL '!Y13/100/3.6*1000000</f>
        <v>3.1788568332596538</v>
      </c>
      <c r="O8" s="33"/>
      <c r="P8" s="33"/>
      <c r="R8" s="32"/>
    </row>
    <row r="9" spans="1:18">
      <c r="A9" s="32" t="s">
        <v>50</v>
      </c>
      <c r="B9" s="37">
        <f t="shared" si="0"/>
        <v>627.94419633844302</v>
      </c>
      <c r="C9" s="33"/>
      <c r="D9" s="37">
        <f>IF(ISERROR(TER_gezond_gas_kWh/1000),0,TER_gezond_gas_kWh/1000)*0.902</f>
        <v>1652.4060517989703</v>
      </c>
      <c r="E9" s="33">
        <f>$C$29*'E Balans VL '!I10/100/3.6*1000000</f>
        <v>0.26027839732399588</v>
      </c>
      <c r="F9" s="33">
        <f>$C$29*('E Balans VL '!L10+'E Balans VL '!N10)/100/3.6*1000000</f>
        <v>154.65364963706043</v>
      </c>
      <c r="G9" s="34"/>
      <c r="H9" s="33"/>
      <c r="I9" s="33"/>
      <c r="J9" s="33">
        <f>$C$29*('E Balans VL '!D10+'E Balans VL '!E10)/100/3.6*1000000</f>
        <v>0</v>
      </c>
      <c r="K9" s="33"/>
      <c r="L9" s="33"/>
      <c r="M9" s="33"/>
      <c r="N9" s="33">
        <f>$C$29*'E Balans VL '!Y10/100/3.6*1000000</f>
        <v>5.4269920968171093</v>
      </c>
      <c r="O9" s="33"/>
      <c r="P9" s="33"/>
      <c r="R9" s="32"/>
    </row>
    <row r="10" spans="1:18">
      <c r="A10" s="32" t="s">
        <v>49</v>
      </c>
      <c r="B10" s="37">
        <f t="shared" si="0"/>
        <v>2010.36771524765</v>
      </c>
      <c r="C10" s="33"/>
      <c r="D10" s="37">
        <f>IF(ISERROR(TER_ander_gas_kWh/1000),0,TER_ander_gas_kWh/1000)*0.902</f>
        <v>1103.5180896565982</v>
      </c>
      <c r="E10" s="33">
        <f>$C$30*'E Balans VL '!I14/100/3.6*1000000</f>
        <v>12.25525119334408</v>
      </c>
      <c r="F10" s="33">
        <f>$C$30*('E Balans VL '!L14+'E Balans VL '!N14)/100/3.6*1000000</f>
        <v>532.9760202259763</v>
      </c>
      <c r="G10" s="34"/>
      <c r="H10" s="33"/>
      <c r="I10" s="33"/>
      <c r="J10" s="33">
        <f>$C$30*('E Balans VL '!D14+'E Balans VL '!E14)/100/3.6*1000000</f>
        <v>0</v>
      </c>
      <c r="K10" s="33"/>
      <c r="L10" s="33"/>
      <c r="M10" s="33"/>
      <c r="N10" s="33">
        <f>$C$30*'E Balans VL '!Y14/100/3.6*1000000</f>
        <v>463.34631751568656</v>
      </c>
      <c r="O10" s="33"/>
      <c r="P10" s="33"/>
      <c r="R10" s="32"/>
    </row>
    <row r="11" spans="1:18">
      <c r="A11" s="32" t="s">
        <v>54</v>
      </c>
      <c r="B11" s="37">
        <f t="shared" si="0"/>
        <v>523.13066865530595</v>
      </c>
      <c r="C11" s="33"/>
      <c r="D11" s="37">
        <f>IF(ISERROR(TER_onderwijs_gas_kWh/1000),0,TER_onderwijs_gas_kWh/1000)*0.902</f>
        <v>2988.5421450833683</v>
      </c>
      <c r="E11" s="33">
        <f>$C$31*'E Balans VL '!I11/100/3.6*1000000</f>
        <v>0.39865280921702928</v>
      </c>
      <c r="F11" s="33">
        <f>$C$31*('E Balans VL '!L11+'E Balans VL '!N11)/100/3.6*1000000</f>
        <v>378.5660205924662</v>
      </c>
      <c r="G11" s="34"/>
      <c r="H11" s="33"/>
      <c r="I11" s="33"/>
      <c r="J11" s="33">
        <f>$C$31*('E Balans VL '!D11+'E Balans VL '!E11)/100/3.6*1000000</f>
        <v>0</v>
      </c>
      <c r="K11" s="33"/>
      <c r="L11" s="33"/>
      <c r="M11" s="33"/>
      <c r="N11" s="33">
        <f>$C$31*'E Balans VL '!Y11/100/3.6*1000000</f>
        <v>1.5417911064787768</v>
      </c>
      <c r="O11" s="33"/>
      <c r="P11" s="33"/>
      <c r="R11" s="32"/>
    </row>
    <row r="12" spans="1:18">
      <c r="A12" s="32" t="s">
        <v>255</v>
      </c>
      <c r="B12" s="37">
        <f t="shared" si="0"/>
        <v>2193.2319057771897</v>
      </c>
      <c r="C12" s="33"/>
      <c r="D12" s="37">
        <f>IF(ISERROR(TER_rest_gas_kWh/1000),0,TER_rest_gas_kWh/1000)*0.902</f>
        <v>4969.1037845933361</v>
      </c>
      <c r="E12" s="33">
        <f>$C$32*'E Balans VL '!I8/100/3.6*1000000</f>
        <v>47.038362415393969</v>
      </c>
      <c r="F12" s="33">
        <f>$C$32*('E Balans VL '!L8+'E Balans VL '!N8)/100/3.6*1000000</f>
        <v>432.7635943778252</v>
      </c>
      <c r="G12" s="34"/>
      <c r="H12" s="33"/>
      <c r="I12" s="33"/>
      <c r="J12" s="33">
        <f>$C$32*('E Balans VL '!D8+'E Balans VL '!E8)/100/3.6*1000000</f>
        <v>0</v>
      </c>
      <c r="K12" s="33"/>
      <c r="L12" s="33"/>
      <c r="M12" s="33"/>
      <c r="N12" s="33">
        <f>$C$32*'E Balans VL '!Y8/100/3.6*1000000</f>
        <v>62.206032339987722</v>
      </c>
      <c r="O12" s="33"/>
      <c r="P12" s="33"/>
      <c r="R12" s="32"/>
    </row>
    <row r="13" spans="1:18">
      <c r="A13" s="16" t="s">
        <v>489</v>
      </c>
      <c r="B13" s="244">
        <f ca="1">'lokale energieproductie'!N39+'lokale energieproductie'!N32</f>
        <v>0</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18915.75821821671</v>
      </c>
      <c r="C16" s="21">
        <f ca="1">C5+C13+C14</f>
        <v>0</v>
      </c>
      <c r="D16" s="21">
        <f t="shared" ref="D16:N16" ca="1" si="1">MAX((D5+D13+D14),0)</f>
        <v>25287.192124591467</v>
      </c>
      <c r="E16" s="21">
        <f t="shared" si="1"/>
        <v>373.44278405743779</v>
      </c>
      <c r="F16" s="21">
        <f t="shared" ca="1" si="1"/>
        <v>3616.6391475731907</v>
      </c>
      <c r="G16" s="21">
        <f t="shared" si="1"/>
        <v>0</v>
      </c>
      <c r="H16" s="21">
        <f t="shared" si="1"/>
        <v>0</v>
      </c>
      <c r="I16" s="21">
        <f t="shared" si="1"/>
        <v>0</v>
      </c>
      <c r="J16" s="21">
        <f t="shared" si="1"/>
        <v>0</v>
      </c>
      <c r="K16" s="21">
        <f t="shared" si="1"/>
        <v>0</v>
      </c>
      <c r="L16" s="21">
        <f t="shared" ca="1" si="1"/>
        <v>0</v>
      </c>
      <c r="M16" s="21">
        <f t="shared" si="1"/>
        <v>0</v>
      </c>
      <c r="N16" s="21">
        <f t="shared" ca="1" si="1"/>
        <v>572.89067443885961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0.19728609163968955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3731.8160092733124</v>
      </c>
      <c r="C20" s="23">
        <f t="shared" ref="C20:P20" ca="1" si="2">C16*C18</f>
        <v>0</v>
      </c>
      <c r="D20" s="23">
        <f t="shared" ca="1" si="2"/>
        <v>5108.0128091674769</v>
      </c>
      <c r="E20" s="23">
        <f t="shared" si="2"/>
        <v>84.771511981038387</v>
      </c>
      <c r="F20" s="23">
        <f t="shared" ca="1" si="2"/>
        <v>965.64265240204202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4811.4088584938499</v>
      </c>
      <c r="C26" s="39">
        <f>IF(ISERROR(B26*3.6/1000000/'E Balans VL '!Z12*100),0,B26*3.6/1000000/'E Balans VL '!Z12*100)</f>
        <v>0.10124812030601896</v>
      </c>
      <c r="D26" s="234" t="s">
        <v>706</v>
      </c>
      <c r="F26" s="6"/>
    </row>
    <row r="27" spans="1:18">
      <c r="A27" s="229" t="s">
        <v>52</v>
      </c>
      <c r="B27" s="33">
        <f>IF(ISERROR(TER_horeca_ele_kWh/1000),0,TER_horeca_ele_kWh/1000)</f>
        <v>1953.06621541104</v>
      </c>
      <c r="C27" s="39">
        <f>IF(ISERROR(B27*3.6/1000000/'E Balans VL '!Z9*100),0,B27*3.6/1000000/'E Balans VL '!Z9*100)</f>
        <v>0.1653606283936104</v>
      </c>
      <c r="D27" s="234" t="s">
        <v>706</v>
      </c>
      <c r="F27" s="6"/>
    </row>
    <row r="28" spans="1:18">
      <c r="A28" s="169" t="s">
        <v>51</v>
      </c>
      <c r="B28" s="33">
        <f>IF(ISERROR(TER_handel_ele_kWh/1000),0,TER_handel_ele_kWh/1000)</f>
        <v>6796.6086582932303</v>
      </c>
      <c r="C28" s="39">
        <f>IF(ISERROR(B28*3.6/1000000/'E Balans VL '!Z13*100),0,B28*3.6/1000000/'E Balans VL '!Z13*100)</f>
        <v>0.18816317087628878</v>
      </c>
      <c r="D28" s="234" t="s">
        <v>706</v>
      </c>
      <c r="F28" s="6"/>
    </row>
    <row r="29" spans="1:18">
      <c r="A29" s="229" t="s">
        <v>50</v>
      </c>
      <c r="B29" s="33">
        <f>IF(ISERROR(TER_gezond_ele_kWh/1000),0,TER_gezond_ele_kWh/1000)</f>
        <v>627.94419633844302</v>
      </c>
      <c r="C29" s="39">
        <f>IF(ISERROR(B29*3.6/1000000/'E Balans VL '!Z10*100),0,B29*3.6/1000000/'E Balans VL '!Z10*100)</f>
        <v>8.1625783950933312E-2</v>
      </c>
      <c r="D29" s="234" t="s">
        <v>706</v>
      </c>
      <c r="F29" s="6"/>
    </row>
    <row r="30" spans="1:18">
      <c r="A30" s="229" t="s">
        <v>49</v>
      </c>
      <c r="B30" s="33">
        <f>IF(ISERROR(TER_ander_ele_kWh/1000),0,TER_ander_ele_kWh/1000)</f>
        <v>2010.36771524765</v>
      </c>
      <c r="C30" s="39">
        <f>IF(ISERROR(B30*3.6/1000000/'E Balans VL '!Z14*100),0,B30*3.6/1000000/'E Balans VL '!Z14*100)</f>
        <v>0.15582193441202322</v>
      </c>
      <c r="D30" s="234" t="s">
        <v>706</v>
      </c>
      <c r="F30" s="6"/>
    </row>
    <row r="31" spans="1:18">
      <c r="A31" s="229" t="s">
        <v>54</v>
      </c>
      <c r="B31" s="33">
        <f>IF(ISERROR(TER_onderwijs_ele_kWh/1000),0,TER_onderwijs_ele_kWh/1000)</f>
        <v>523.13066865530595</v>
      </c>
      <c r="C31" s="39">
        <f>IF(ISERROR(B31*3.6/1000000/'E Balans VL '!Z11*100),0,B31*3.6/1000000/'E Balans VL '!Z11*100)</f>
        <v>0.10008381087171546</v>
      </c>
      <c r="D31" s="234" t="s">
        <v>706</v>
      </c>
    </row>
    <row r="32" spans="1:18">
      <c r="A32" s="229" t="s">
        <v>255</v>
      </c>
      <c r="B32" s="33">
        <f>IF(ISERROR(TER_rest_ele_kWh/1000),0,TER_rest_ele_kWh/1000)</f>
        <v>2193.2319057771897</v>
      </c>
      <c r="C32" s="39">
        <f>IF(ISERROR(B32*3.6/1000000/'E Balans VL '!Z8*100),0,B32*3.6/1000000/'E Balans VL '!Z8*100)</f>
        <v>1.8084881280047177E-2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21284.702810231021</v>
      </c>
      <c r="C5" s="17">
        <f>IF(ISERROR('Eigen informatie GS &amp; warmtenet'!B59),0,'Eigen informatie GS &amp; warmtenet'!B59)</f>
        <v>0</v>
      </c>
      <c r="D5" s="30">
        <f>SUM(D6:D15)</f>
        <v>10266.452426982029</v>
      </c>
      <c r="E5" s="17">
        <f>SUM(E6:E15)</f>
        <v>193.37539988044264</v>
      </c>
      <c r="F5" s="17">
        <f>SUM(F6:F15)</f>
        <v>5087.0550178890016</v>
      </c>
      <c r="G5" s="18"/>
      <c r="H5" s="17"/>
      <c r="I5" s="17"/>
      <c r="J5" s="17">
        <f>SUM(J6:J15)</f>
        <v>109.22132472138685</v>
      </c>
      <c r="K5" s="17"/>
      <c r="L5" s="17"/>
      <c r="M5" s="17"/>
      <c r="N5" s="17">
        <f>SUM(N6:N15)</f>
        <v>477.7765249178301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378.78645822023697</v>
      </c>
      <c r="C8" s="33"/>
      <c r="D8" s="37">
        <f>IF( ISERROR(IND_metaal_Gas_kWH/1000),0,IND_metaal_Gas_kWH/1000)*0.902</f>
        <v>68.551379136901346</v>
      </c>
      <c r="E8" s="33">
        <f>C30*'E Balans VL '!I18/100/3.6*1000000</f>
        <v>2.6616488664726026</v>
      </c>
      <c r="F8" s="33">
        <f>C30*'E Balans VL '!L18/100/3.6*1000000+C30*'E Balans VL '!N18/100/3.6*1000000</f>
        <v>41.588536993672079</v>
      </c>
      <c r="G8" s="34"/>
      <c r="H8" s="33"/>
      <c r="I8" s="33"/>
      <c r="J8" s="40">
        <f>C30*'E Balans VL '!D18/100/3.6*1000000+C30*'E Balans VL '!E18/100/3.6*1000000</f>
        <v>7.8151810662990364</v>
      </c>
      <c r="K8" s="33"/>
      <c r="L8" s="33"/>
      <c r="M8" s="33"/>
      <c r="N8" s="33">
        <f>C30*'E Balans VL '!Y18/100/3.6*1000000</f>
        <v>1.4197189255809077</v>
      </c>
      <c r="O8" s="33"/>
      <c r="P8" s="33"/>
      <c r="R8" s="32"/>
    </row>
    <row r="9" spans="1:18">
      <c r="A9" s="6" t="s">
        <v>32</v>
      </c>
      <c r="B9" s="37">
        <f t="shared" si="0"/>
        <v>2441.09257474377</v>
      </c>
      <c r="C9" s="33"/>
      <c r="D9" s="37">
        <f>IF( ISERROR(IND_andere_gas_kWh/1000),0,IND_andere_gas_kWh/1000)*0.902</f>
        <v>2095.2557928805591</v>
      </c>
      <c r="E9" s="33">
        <f>C31*'E Balans VL '!I19/100/3.6*1000000</f>
        <v>41.001140226704926</v>
      </c>
      <c r="F9" s="33">
        <f>C31*'E Balans VL '!L19/100/3.6*1000000+C31*'E Balans VL '!N19/100/3.6*1000000</f>
        <v>1908.3071406829727</v>
      </c>
      <c r="G9" s="34"/>
      <c r="H9" s="33"/>
      <c r="I9" s="33"/>
      <c r="J9" s="40">
        <f>C31*'E Balans VL '!D19/100/3.6*1000000+C31*'E Balans VL '!E19/100/3.6*1000000</f>
        <v>0.22016500177812079</v>
      </c>
      <c r="K9" s="33"/>
      <c r="L9" s="33"/>
      <c r="M9" s="33"/>
      <c r="N9" s="33">
        <f>C31*'E Balans VL '!Y19/100/3.6*1000000</f>
        <v>180.92412367099394</v>
      </c>
      <c r="O9" s="33"/>
      <c r="P9" s="33"/>
      <c r="R9" s="32"/>
    </row>
    <row r="10" spans="1:18">
      <c r="A10" s="6" t="s">
        <v>40</v>
      </c>
      <c r="B10" s="37">
        <f t="shared" si="0"/>
        <v>1407.26237387475</v>
      </c>
      <c r="C10" s="33"/>
      <c r="D10" s="37">
        <f>IF( ISERROR(IND_voed_gas_kWh/1000),0,IND_voed_gas_kWh/1000)*0.902</f>
        <v>321.13569812304388</v>
      </c>
      <c r="E10" s="33">
        <f>C32*'E Balans VL '!I20/100/3.6*1000000</f>
        <v>12.839277111381872</v>
      </c>
      <c r="F10" s="33">
        <f>C32*'E Balans VL '!L20/100/3.6*1000000+C32*'E Balans VL '!N20/100/3.6*1000000</f>
        <v>227.03543749711145</v>
      </c>
      <c r="G10" s="34"/>
      <c r="H10" s="33"/>
      <c r="I10" s="33"/>
      <c r="J10" s="40">
        <f>C32*'E Balans VL '!D20/100/3.6*1000000+C32*'E Balans VL '!E20/100/3.6*1000000</f>
        <v>5.7960291014892809</v>
      </c>
      <c r="K10" s="33"/>
      <c r="L10" s="33"/>
      <c r="M10" s="33"/>
      <c r="N10" s="33">
        <f>C32*'E Balans VL '!Y20/100/3.6*1000000</f>
        <v>20.587138872262067</v>
      </c>
      <c r="O10" s="33"/>
      <c r="P10" s="33"/>
      <c r="R10" s="32"/>
    </row>
    <row r="11" spans="1:18">
      <c r="A11" s="6" t="s">
        <v>39</v>
      </c>
      <c r="B11" s="37">
        <f t="shared" si="0"/>
        <v>2805.5393177343003</v>
      </c>
      <c r="C11" s="33"/>
      <c r="D11" s="37">
        <f>IF( ISERROR(IND_textiel_gas_kWh/1000),0,IND_textiel_gas_kWh/1000)*0.902</f>
        <v>0</v>
      </c>
      <c r="E11" s="33">
        <f>C33*'E Balans VL '!I21/100/3.6*1000000</f>
        <v>6.3989147784585487</v>
      </c>
      <c r="F11" s="33">
        <f>C33*'E Balans VL '!L21/100/3.6*1000000+C33*'E Balans VL '!N21/100/3.6*1000000</f>
        <v>59.971005042564926</v>
      </c>
      <c r="G11" s="34"/>
      <c r="H11" s="33"/>
      <c r="I11" s="33"/>
      <c r="J11" s="40">
        <f>C33*'E Balans VL '!D21/100/3.6*1000000+C33*'E Balans VL '!E21/100/3.6*1000000</f>
        <v>0</v>
      </c>
      <c r="K11" s="33"/>
      <c r="L11" s="33"/>
      <c r="M11" s="33"/>
      <c r="N11" s="33">
        <f>C33*'E Balans VL '!Y21/100/3.6*1000000</f>
        <v>19.902117425971959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85.2376380161664</v>
      </c>
      <c r="C13" s="33"/>
      <c r="D13" s="37">
        <f>IF( ISERROR(IND_papier_gas_kWh/1000),0,IND_papier_gas_kWh/1000)*0.902</f>
        <v>0</v>
      </c>
      <c r="E13" s="33">
        <f>C35*'E Balans VL '!I23/100/3.6*1000000</f>
        <v>2.6225396713342093</v>
      </c>
      <c r="F13" s="33">
        <f>C35*'E Balans VL '!L23/100/3.6*1000000+C35*'E Balans VL '!N23/100/3.6*1000000</f>
        <v>18.098929430281483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14166.784447641799</v>
      </c>
      <c r="C15" s="33"/>
      <c r="D15" s="37">
        <f>IF( ISERROR(IND_rest_gas_kWh/1000),0,IND_rest_gas_kWh/1000)*0.902</f>
        <v>7781.5095568415236</v>
      </c>
      <c r="E15" s="33">
        <f>C37*'E Balans VL '!I15/100/3.6*1000000</f>
        <v>127.85187922609049</v>
      </c>
      <c r="F15" s="33">
        <f>C37*'E Balans VL '!L15/100/3.6*1000000+C37*'E Balans VL '!N15/100/3.6*1000000</f>
        <v>2832.0539682423992</v>
      </c>
      <c r="G15" s="34"/>
      <c r="H15" s="33"/>
      <c r="I15" s="33"/>
      <c r="J15" s="40">
        <f>C37*'E Balans VL '!D15/100/3.6*1000000+C37*'E Balans VL '!E15/100/3.6*1000000</f>
        <v>95.389949551820408</v>
      </c>
      <c r="K15" s="33"/>
      <c r="L15" s="33"/>
      <c r="M15" s="33"/>
      <c r="N15" s="33">
        <f>C37*'E Balans VL '!Y15/100/3.6*1000000</f>
        <v>254.9434260230212</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21284.702810231021</v>
      </c>
      <c r="C18" s="21">
        <f>C5+C16</f>
        <v>0</v>
      </c>
      <c r="D18" s="21">
        <f>MAX((D5+D16),0)</f>
        <v>10266.452426982029</v>
      </c>
      <c r="E18" s="21">
        <f>MAX((E5+E16),0)</f>
        <v>193.37539988044264</v>
      </c>
      <c r="F18" s="21">
        <f>MAX((F5+F16),0)</f>
        <v>5087.0550178890016</v>
      </c>
      <c r="G18" s="21"/>
      <c r="H18" s="21"/>
      <c r="I18" s="21"/>
      <c r="J18" s="21">
        <f>MAX((J5+J16),0)</f>
        <v>109.22132472138685</v>
      </c>
      <c r="K18" s="21"/>
      <c r="L18" s="21">
        <f>MAX((L5+L16),0)</f>
        <v>0</v>
      </c>
      <c r="M18" s="21"/>
      <c r="N18" s="21">
        <f>MAX((N5+N16),0)</f>
        <v>477.7765249178301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0.19728609163968955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4199.175829142795</v>
      </c>
      <c r="C22" s="23">
        <f ca="1">C18*C20</f>
        <v>0</v>
      </c>
      <c r="D22" s="23">
        <f>D18*D20</f>
        <v>2073.8233902503698</v>
      </c>
      <c r="E22" s="23">
        <f>E18*E20</f>
        <v>43.896215772860479</v>
      </c>
      <c r="F22" s="23">
        <f>F18*F20</f>
        <v>1358.2436897763635</v>
      </c>
      <c r="G22" s="23"/>
      <c r="H22" s="23"/>
      <c r="I22" s="23"/>
      <c r="J22" s="23">
        <f>J18*J20</f>
        <v>38.66434895137094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378.78645822023697</v>
      </c>
      <c r="C30" s="39">
        <f>IF(ISERROR(B30*3.6/1000000/'E Balans VL '!Z18*100),0,B30*3.6/1000000/'E Balans VL '!Z18*100)</f>
        <v>2.5216045830115628E-2</v>
      </c>
      <c r="D30" s="234" t="s">
        <v>706</v>
      </c>
    </row>
    <row r="31" spans="1:18">
      <c r="A31" s="6" t="s">
        <v>32</v>
      </c>
      <c r="B31" s="37">
        <f>IF( ISERROR(IND_ander_ele_kWh/1000),0,IND_ander_ele_kWh/1000)</f>
        <v>2441.09257474377</v>
      </c>
      <c r="C31" s="39">
        <f>IF(ISERROR(B31*3.6/1000000/'E Balans VL '!Z19*100),0,B31*3.6/1000000/'E Balans VL '!Z19*100)</f>
        <v>0.10820395991825732</v>
      </c>
      <c r="D31" s="234" t="s">
        <v>706</v>
      </c>
    </row>
    <row r="32" spans="1:18">
      <c r="A32" s="169" t="s">
        <v>40</v>
      </c>
      <c r="B32" s="37">
        <f>IF( ISERROR(IND_voed_ele_kWh/1000),0,IND_voed_ele_kWh/1000)</f>
        <v>1407.26237387475</v>
      </c>
      <c r="C32" s="39">
        <f>IF(ISERROR(B32*3.6/1000000/'E Balans VL '!Z20*100),0,B32*3.6/1000000/'E Balans VL '!Z20*100)</f>
        <v>4.7006600200688614E-2</v>
      </c>
      <c r="D32" s="234" t="s">
        <v>706</v>
      </c>
    </row>
    <row r="33" spans="1:5">
      <c r="A33" s="169" t="s">
        <v>39</v>
      </c>
      <c r="B33" s="37">
        <f>IF( ISERROR(IND_textiel_ele_kWh/1000),0,IND_textiel_ele_kWh/1000)</f>
        <v>2805.5393177343003</v>
      </c>
      <c r="C33" s="39">
        <f>IF(ISERROR(B33*3.6/1000000/'E Balans VL '!Z21*100),0,B33*3.6/1000000/'E Balans VL '!Z21*100)</f>
        <v>0.3693557208655483</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85.2376380161664</v>
      </c>
      <c r="C35" s="39">
        <f>IF(ISERROR(B35*3.6/1000000/'E Balans VL '!Z22*100),0,B35*3.6/1000000/'E Balans VL '!Z22*100)</f>
        <v>1.6577784311912258E-2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14166.784447641799</v>
      </c>
      <c r="C37" s="39">
        <f>IF(ISERROR(B37*3.6/1000000/'E Balans VL '!Z15*100),0,B37*3.6/1000000/'E Balans VL '!Z15*100)</f>
        <v>0.10537779662437258</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2035.3908244533984</v>
      </c>
      <c r="C5" s="17">
        <f>'Eigen informatie GS &amp; warmtenet'!B60</f>
        <v>0</v>
      </c>
      <c r="D5" s="30">
        <f>IF(ISERROR(SUM(LB_lb_gas_kWh,LB_rest_gas_kWh)/1000),0,SUM(LB_lb_gas_kWh,LB_rest_gas_kWh)/1000)*0.902</f>
        <v>21702.818132337823</v>
      </c>
      <c r="E5" s="17">
        <f>B17*'E Balans VL '!I25/3.6*1000000/100</f>
        <v>21.315053357820116</v>
      </c>
      <c r="F5" s="17">
        <f>B17*('E Balans VL '!L25/3.6*1000000+'E Balans VL '!N25/3.6*1000000)/100</f>
        <v>8713.0192972279729</v>
      </c>
      <c r="G5" s="18"/>
      <c r="H5" s="17"/>
      <c r="I5" s="17"/>
      <c r="J5" s="17">
        <f>('E Balans VL '!D25+'E Balans VL '!E25)/3.6*1000000*landbouw!B17/100</f>
        <v>181.77864414287626</v>
      </c>
      <c r="K5" s="17"/>
      <c r="L5" s="17">
        <f>L6*(-1)</f>
        <v>0</v>
      </c>
      <c r="M5" s="17"/>
      <c r="N5" s="17">
        <f>N6*(-1)</f>
        <v>0</v>
      </c>
      <c r="O5" s="17"/>
      <c r="P5" s="17"/>
      <c r="R5" s="32"/>
    </row>
    <row r="6" spans="1:18">
      <c r="A6" s="16" t="s">
        <v>489</v>
      </c>
      <c r="B6" s="17" t="s">
        <v>210</v>
      </c>
      <c r="C6" s="17">
        <f>'lokale energieproductie'!O40+'lokale energieproductie'!O33</f>
        <v>16405.714285714286</v>
      </c>
      <c r="D6" s="304">
        <f>('lokale energieproductie'!P33+'lokale energieproductie'!P40)*(-1)</f>
        <v>-32811.428571428572</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2035.3908244533984</v>
      </c>
      <c r="C8" s="21">
        <f>C5+C6</f>
        <v>16405.714285714286</v>
      </c>
      <c r="D8" s="21">
        <f>MAX((D5+D6),0)</f>
        <v>0</v>
      </c>
      <c r="E8" s="21">
        <f>MAX((E5+E6),0)</f>
        <v>21.315053357820116</v>
      </c>
      <c r="F8" s="21">
        <f>MAX((F5+F6),0)</f>
        <v>8713.0192972279729</v>
      </c>
      <c r="G8" s="21"/>
      <c r="H8" s="21"/>
      <c r="I8" s="21"/>
      <c r="J8" s="21">
        <f>MAX((J5+J6),0)</f>
        <v>181.77864414287626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0.19728609163968955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401.5543007156964</v>
      </c>
      <c r="C12" s="23">
        <f ca="1">C8*C10</f>
        <v>3898.7697478991599</v>
      </c>
      <c r="D12" s="23">
        <f>D8*D10</f>
        <v>0</v>
      </c>
      <c r="E12" s="23">
        <f>E8*E10</f>
        <v>4.8385171122251664</v>
      </c>
      <c r="F12" s="23">
        <f>F8*F10</f>
        <v>2326.3761523598687</v>
      </c>
      <c r="G12" s="23"/>
      <c r="H12" s="23"/>
      <c r="I12" s="23"/>
      <c r="J12" s="23">
        <f>J8*J10</f>
        <v>64.349640026578186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0.31328593818707667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217.4151576983202</v>
      </c>
      <c r="C26" s="244">
        <f>B26*'GWP N2O_CH4'!B5</f>
        <v>4565.7183116647238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78.91145757275315</v>
      </c>
      <c r="C27" s="244">
        <f>B27*'GWP N2O_CH4'!B5</f>
        <v>1657.1406090278163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3.3734723553745236</v>
      </c>
      <c r="C28" s="244">
        <f>B28*'GWP N2O_CH4'!B4</f>
        <v>1045.7764301661023</v>
      </c>
      <c r="D28" s="50"/>
    </row>
    <row r="29" spans="1:4">
      <c r="A29" s="41" t="s">
        <v>272</v>
      </c>
      <c r="B29" s="244">
        <f>B34*'ha_N2O bodem landbouw'!B4</f>
        <v>14.413293910025752</v>
      </c>
      <c r="C29" s="244">
        <f>B29*'GWP N2O_CH4'!B4</f>
        <v>4468.1211121079832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2.38198611846292E-3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3.929543839161833E-6</v>
      </c>
      <c r="C5" s="435" t="s">
        <v>210</v>
      </c>
      <c r="D5" s="420">
        <f>SUM(D6:D11)</f>
        <v>1.5618124785942239E-5</v>
      </c>
      <c r="E5" s="420">
        <f>SUM(E6:E11)</f>
        <v>1.5760019575919277E-3</v>
      </c>
      <c r="F5" s="433" t="s">
        <v>210</v>
      </c>
      <c r="G5" s="420">
        <f>SUM(G6:G11)</f>
        <v>0.26886006158991521</v>
      </c>
      <c r="H5" s="420">
        <f>SUM(H6:H11)</f>
        <v>5.0416563518457261E-2</v>
      </c>
      <c r="I5" s="435" t="s">
        <v>210</v>
      </c>
      <c r="J5" s="435" t="s">
        <v>210</v>
      </c>
      <c r="K5" s="435" t="s">
        <v>210</v>
      </c>
      <c r="L5" s="435" t="s">
        <v>210</v>
      </c>
      <c r="M5" s="420">
        <f>SUM(M6:M11)</f>
        <v>1.3902695830835126E-2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2.1571700081553064E-6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6.8300769230005644E-6</v>
      </c>
      <c r="E6" s="423">
        <f>vkm_GW_PW*SUMIFS(TableVerdeelsleutelVkm[LPG],TableVerdeelsleutelVkm[Voertuigtype],"Lichte voertuigen")*SUMIFS(TableECFTransport[EnergieConsumptieFactor (PJ per km)],TableECFTransport[Index],CONCATENATE($A6,"_LPG_LPG"))</f>
        <v>7.1175340719128533E-4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9.4805731272637389E-2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2.2743690222324624E-2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5.13093290840757E-3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1.2588007158732045E-7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5.6743861579424341E-2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1.5363389923302507E-6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2.44454915308577E-3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1.6331769857646314E-6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8.7880478629416759E-6</v>
      </c>
      <c r="E8" s="423">
        <f>vkm_NGW_PW*SUMIFS(TableVerdeelsleutelVkm[LPG],TableVerdeelsleutelVkm[Voertuigtype],"Lichte voertuigen")*SUMIFS(TableECFTransport[EnergieConsumptieFactor (PJ per km)],TableECFTransport[Index],CONCATENATE($A8,"_LPG_LPG"))</f>
        <v>8.6424855040064224E-4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0.1089955130220575</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2.7671140781293378E-2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5.9690033519244753E-3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1.3316773654574553E-8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8.3149557157959665E-3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1.9617584692584184E-7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3.582104174173106E-4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1.0915399553227314</v>
      </c>
      <c r="C14" s="21"/>
      <c r="D14" s="21">
        <f t="shared" ref="D14:M14" si="0">((D5)*10^9/3600)+D12</f>
        <v>4.3383679960950658</v>
      </c>
      <c r="E14" s="21">
        <f t="shared" si="0"/>
        <v>437.77832155331322</v>
      </c>
      <c r="F14" s="21"/>
      <c r="G14" s="21">
        <f t="shared" si="0"/>
        <v>74683.35044164311</v>
      </c>
      <c r="H14" s="21">
        <f t="shared" si="0"/>
        <v>14004.600977349241</v>
      </c>
      <c r="I14" s="21"/>
      <c r="J14" s="21"/>
      <c r="K14" s="21"/>
      <c r="L14" s="21"/>
      <c r="M14" s="21">
        <f t="shared" si="0"/>
        <v>3861.8599530097572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0.19728609163968955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0.21534565165418301</v>
      </c>
      <c r="C18" s="23"/>
      <c r="D18" s="23">
        <f t="shared" ref="D18:M18" si="1">D14*D16</f>
        <v>0.87635033521120331</v>
      </c>
      <c r="E18" s="23">
        <f t="shared" si="1"/>
        <v>99.375678992602104</v>
      </c>
      <c r="F18" s="23"/>
      <c r="G18" s="23">
        <f t="shared" si="1"/>
        <v>19940.45456791871</v>
      </c>
      <c r="H18" s="23">
        <f t="shared" si="1"/>
        <v>3487.145643359961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2.1699893273866463E-5</v>
      </c>
      <c r="C50" s="315">
        <f t="shared" ref="C50:P50" si="2">SUM(C51:C52)</f>
        <v>0</v>
      </c>
      <c r="D50" s="315">
        <f t="shared" si="2"/>
        <v>0</v>
      </c>
      <c r="E50" s="315">
        <f t="shared" si="2"/>
        <v>0</v>
      </c>
      <c r="F50" s="315">
        <f t="shared" si="2"/>
        <v>0</v>
      </c>
      <c r="G50" s="315">
        <f t="shared" si="2"/>
        <v>4.7075739819105568E-3</v>
      </c>
      <c r="H50" s="315">
        <f t="shared" si="2"/>
        <v>0</v>
      </c>
      <c r="I50" s="315">
        <f t="shared" si="2"/>
        <v>0</v>
      </c>
      <c r="J50" s="315">
        <f t="shared" si="2"/>
        <v>0</v>
      </c>
      <c r="K50" s="315">
        <f t="shared" si="2"/>
        <v>0</v>
      </c>
      <c r="L50" s="315">
        <f t="shared" si="2"/>
        <v>0</v>
      </c>
      <c r="M50" s="315">
        <f t="shared" si="2"/>
        <v>2.0156023494142909E-4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2.1699893273866463E-5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4.7075739819105568E-3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2.0156023494142909E-4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6.0277481316295729</v>
      </c>
      <c r="C54" s="21">
        <f t="shared" ref="C54:P54" si="3">(C50)*10^9/3600</f>
        <v>0</v>
      </c>
      <c r="D54" s="21">
        <f t="shared" si="3"/>
        <v>0</v>
      </c>
      <c r="E54" s="21">
        <f t="shared" si="3"/>
        <v>0</v>
      </c>
      <c r="F54" s="21">
        <f t="shared" si="3"/>
        <v>0</v>
      </c>
      <c r="G54" s="21">
        <f t="shared" si="3"/>
        <v>1307.659439419599</v>
      </c>
      <c r="H54" s="21">
        <f t="shared" si="3"/>
        <v>0</v>
      </c>
      <c r="I54" s="21">
        <f t="shared" si="3"/>
        <v>0</v>
      </c>
      <c r="J54" s="21">
        <f t="shared" si="3"/>
        <v>0</v>
      </c>
      <c r="K54" s="21">
        <f t="shared" si="3"/>
        <v>0</v>
      </c>
      <c r="L54" s="21">
        <f t="shared" si="3"/>
        <v>0</v>
      </c>
      <c r="M54" s="21">
        <f t="shared" si="3"/>
        <v>55.988954150396964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0.19728609163968955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1.1891908702776395</v>
      </c>
      <c r="C58" s="23">
        <f t="shared" ref="C58:P58" ca="1" si="4">C54*C56</f>
        <v>0</v>
      </c>
      <c r="D58" s="23">
        <f t="shared" si="4"/>
        <v>0</v>
      </c>
      <c r="E58" s="23">
        <f t="shared" si="4"/>
        <v>0</v>
      </c>
      <c r="F58" s="23">
        <f t="shared" si="4"/>
        <v>0</v>
      </c>
      <c r="G58" s="23">
        <f t="shared" si="4"/>
        <v>349.14507032503298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7598.5958320085565</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2530.4343386762907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11484</v>
      </c>
      <c r="C8" s="546">
        <f>B49</f>
        <v>13510.588235294117</v>
      </c>
      <c r="D8" s="965"/>
      <c r="E8" s="965">
        <f>E49</f>
        <v>0</v>
      </c>
      <c r="F8" s="966"/>
      <c r="G8" s="547"/>
      <c r="H8" s="965">
        <f>I49</f>
        <v>0</v>
      </c>
      <c r="I8" s="965">
        <f>G49+F49</f>
        <v>0</v>
      </c>
      <c r="J8" s="965">
        <f>H49+D49+C49</f>
        <v>0</v>
      </c>
      <c r="K8" s="965"/>
      <c r="L8" s="965"/>
      <c r="M8" s="965"/>
      <c r="N8" s="548"/>
      <c r="O8" s="549">
        <f>C8*$C$12+D8*$D$12+E8*$E$12+F8*$F$12+G8*$G$12+H8*$H$12+I8*$I$12+J8*$J$12</f>
        <v>2729.1388235294116</v>
      </c>
      <c r="P8" s="1255"/>
      <c r="Q8" s="1256"/>
      <c r="S8" s="998"/>
      <c r="T8" s="1252"/>
      <c r="U8" s="1252"/>
    </row>
    <row r="9" spans="1:21" s="534" customFormat="1" ht="17.45" customHeight="1" thickBot="1">
      <c r="A9" s="550" t="s">
        <v>243</v>
      </c>
      <c r="B9" s="1002">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21613.030170684848</v>
      </c>
      <c r="C10" s="558">
        <f t="shared" ref="C10:L10" si="0">SUM(C8:C9)</f>
        <v>13510.588235294117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2729.1388235294116</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16405.714285714286</v>
      </c>
      <c r="C17" s="570">
        <f>B50</f>
        <v>19300.840336134454</v>
      </c>
      <c r="D17" s="571"/>
      <c r="E17" s="571">
        <f>E50</f>
        <v>0</v>
      </c>
      <c r="F17" s="572"/>
      <c r="G17" s="573"/>
      <c r="H17" s="570">
        <f>I50</f>
        <v>0</v>
      </c>
      <c r="I17" s="571">
        <f>G50+F50</f>
        <v>0</v>
      </c>
      <c r="J17" s="571">
        <f>H50+D50+C50</f>
        <v>0</v>
      </c>
      <c r="K17" s="571"/>
      <c r="L17" s="571"/>
      <c r="M17" s="571"/>
      <c r="N17" s="961"/>
      <c r="O17" s="574">
        <f>C17*$C$22+E17*$E$22+H17*$H$22+I17*$I$22+J17*$J$22+D17*$D$22+F17*$F$22+G17*$G$22+K17*$K$22+L17*$L$22</f>
        <v>3898.7697478991599</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16405.714285714286</v>
      </c>
      <c r="C20" s="557">
        <f>SUM(C17:C19)</f>
        <v>19300.840336134454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3898.7697478991599</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42008</v>
      </c>
      <c r="C28" s="777">
        <v>9220</v>
      </c>
      <c r="D28" s="630" t="s">
        <v>983</v>
      </c>
      <c r="E28" s="629" t="s">
        <v>984</v>
      </c>
      <c r="F28" s="629" t="s">
        <v>985</v>
      </c>
      <c r="G28" s="629" t="s">
        <v>986</v>
      </c>
      <c r="H28" s="629" t="s">
        <v>987</v>
      </c>
      <c r="I28" s="629" t="s">
        <v>988</v>
      </c>
      <c r="J28" s="776">
        <v>39569</v>
      </c>
      <c r="K28" s="776">
        <v>38596</v>
      </c>
      <c r="L28" s="629" t="s">
        <v>989</v>
      </c>
      <c r="M28" s="629">
        <v>1152</v>
      </c>
      <c r="N28" s="629">
        <v>5184</v>
      </c>
      <c r="O28" s="629">
        <v>7405.7142857142862</v>
      </c>
      <c r="P28" s="629">
        <v>14811.428571428572</v>
      </c>
      <c r="Q28" s="629">
        <v>0</v>
      </c>
      <c r="R28" s="629">
        <v>0</v>
      </c>
      <c r="S28" s="629">
        <v>0</v>
      </c>
      <c r="T28" s="629">
        <v>0</v>
      </c>
      <c r="U28" s="629">
        <v>0</v>
      </c>
      <c r="V28" s="629">
        <v>0</v>
      </c>
      <c r="W28" s="629">
        <v>0</v>
      </c>
      <c r="X28" s="629">
        <v>10</v>
      </c>
      <c r="Y28" s="629" t="s">
        <v>111</v>
      </c>
      <c r="Z28" s="631" t="s">
        <v>111</v>
      </c>
    </row>
    <row r="29" spans="1:26" s="583" customFormat="1" ht="25.5">
      <c r="A29" s="582"/>
      <c r="B29" s="777">
        <v>42008</v>
      </c>
      <c r="C29" s="777">
        <v>9220</v>
      </c>
      <c r="D29" s="630" t="s">
        <v>990</v>
      </c>
      <c r="E29" s="629" t="s">
        <v>991</v>
      </c>
      <c r="F29" s="629" t="s">
        <v>992</v>
      </c>
      <c r="G29" s="629" t="s">
        <v>986</v>
      </c>
      <c r="H29" s="629" t="s">
        <v>987</v>
      </c>
      <c r="I29" s="629" t="s">
        <v>991</v>
      </c>
      <c r="J29" s="776">
        <v>40113</v>
      </c>
      <c r="K29" s="776">
        <v>40113</v>
      </c>
      <c r="L29" s="629" t="s">
        <v>989</v>
      </c>
      <c r="M29" s="629">
        <v>1400</v>
      </c>
      <c r="N29" s="629">
        <v>6300</v>
      </c>
      <c r="O29" s="629">
        <v>9000</v>
      </c>
      <c r="P29" s="629">
        <v>18000</v>
      </c>
      <c r="Q29" s="629">
        <v>0</v>
      </c>
      <c r="R29" s="629">
        <v>0</v>
      </c>
      <c r="S29" s="629">
        <v>0</v>
      </c>
      <c r="T29" s="629">
        <v>0</v>
      </c>
      <c r="U29" s="629">
        <v>0</v>
      </c>
      <c r="V29" s="629">
        <v>0</v>
      </c>
      <c r="W29" s="629">
        <v>0</v>
      </c>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2552</v>
      </c>
      <c r="N30" s="587">
        <f>SUM(N28:N29)</f>
        <v>11484</v>
      </c>
      <c r="O30" s="587">
        <f>SUM(O28:O29)</f>
        <v>16405.714285714286</v>
      </c>
      <c r="P30" s="587">
        <f>SUM(P28:P29)</f>
        <v>32811.428571428572</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2552</v>
      </c>
      <c r="N33" s="592">
        <f>SUMIF($Z$28:$Z$29,"landbouw",N28:N29)</f>
        <v>11484</v>
      </c>
      <c r="O33" s="592">
        <f>SUMIF($Z$28:$Z$29,"landbouw",O28:O29)</f>
        <v>16405.714285714286</v>
      </c>
      <c r="P33" s="592">
        <f>SUMIF($Z$28:$Z$29,"landbouw",P28:P29)</f>
        <v>32811.428571428572</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13510.588235294117</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19300.840336134454</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2021-06-29T17:01:54Z</dcterms:modified>
</cp:coreProperties>
</file>