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<sst xmlns="http://schemas.openxmlformats.org/spreadsheetml/2006/main" count="2581" uniqueCount="983">
  <si>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</si>
  <si>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</si>
  <si>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</si>
  <si>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</si>
  <si>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</si>
  <si>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</si>
  <si>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</si>
  <si>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</si>
  <si>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</si>
  <si>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</si>
  <si>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</si>
  <si>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</si>
  <si>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</si>
  <si>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</si>
  <si>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</si>
  <si>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</si>
  <si>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</si>
  <si>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</si>
  <si>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</si>
  <si>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</si>
  <si>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</si>
  <si>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</si>
  <si>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</si>
  <si>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</si>
  <si>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</si>
  <si>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</si>
  <si>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</si>
  <si>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</si>
  <si>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</si>
  <si>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</si>
  <si>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</si>
  <si>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</si>
  <si>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</si>
  <si>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</si>
  <si>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</si>
  <si>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</si>
  <si>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</si>
  <si>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</si>
  <si>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</si>
  <si>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</si>
  <si>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</si>
  <si>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</si>
  <si>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</si>
  <si>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</si>
  <si>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</si>
  <si>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</si>
  <si>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</si>
  <si>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</si>
  <si>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</si>
  <si>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</si>
  <si>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</si>
  <si>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</si>
  <si>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</si>
  <si>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</si>
  <si>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</si>
  <si>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</si>
  <si>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</si>
  <si>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</si>
  <si>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</si>
  <si>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</si>
  <si>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</si>
  <si>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</si>
  <si>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</si>
  <si>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</si>
  <si>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</si>
  <si>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</si>
  <si>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</si>
  <si>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</si>
  <si>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</si>
  <si>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</si>
  <si>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</si>
  <si>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</si>
  <si>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</si>
  <si>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</si>
  <si>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</si>
  <si>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</si>
  <si>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</si>
  <si>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</si>
  <si>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</si>
  <si>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</si>
  <si>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</si>
  <si>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</si>
  <si>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</si>
  <si>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</si>
  <si>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</si>
  <si>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</si>
  <si>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</si>
  <si>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</si>
  <si>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</si>
  <si>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</si>
  <si>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</si>
  <si>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</si>
  <si>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</si>
  <si>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</si>
  <si>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</si>
  <si>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</si>
  <si>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</si>
  <si>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</si>
  <si>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</si>
  <si>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</si>
  <si>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</si>
  <si>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</si>
  <si>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</si>
  <si>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</si>
  <si>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</si>
  <si>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</si>
  <si>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</si>
  <si>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</si>
  <si>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</si>
  <si>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</si>
  <si>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</si>
  <si>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</si>
  <si>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</si>
  <si>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</si>
  <si>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</si>
  <si>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</si>
  <si>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</si>
  <si>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</si>
  <si>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</si>
  <si>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</si>
  <si>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</si>
  <si>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</si>
  <si>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</si>
  <si>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</si>
  <si>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</si>
  <si>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</si>
  <si>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</si>
  <si>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</si>
  <si>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</si>
  <si>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</si>
  <si>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</si>
  <si>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</si>
  <si>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</si>
  <si>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</si>
  <si>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</si>
  <si>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</si>
  <si>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</si>
  <si>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</si>
  <si>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</si>
  <si>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</si>
  <si>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</si>
  <si>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</si>
  <si>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</si>
  <si>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</si>
  <si>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</si>
  <si>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</si>
  <si>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</si>
  <si>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</si>
  <si>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</si>
  <si>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</si>
  <si>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</si>
  <si>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</si>
  <si>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</si>
  <si>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</si>
  <si>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</si>
  <si>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</si>
  <si>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</si>
  <si>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</si>
  <si>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</si>
  <si>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</si>
  <si>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</si>
  <si>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</si>
  <si>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</si>
  <si>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</si>
  <si>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</si>
  <si>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</si>
  <si>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</si>
  <si>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</si>
  <si>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</si>
  <si>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</si>
  <si>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</si>
  <si>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</si>
  <si>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</si>
  <si>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</si>
  <si>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</si>
  <si>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</si>
  <si>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</si>
  <si>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</si>
  <si>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</si>
  <si>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</si>
  <si>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</si>
  <si>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</si>
  <si>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</si>
  <si>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</si>
  <si>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</si>
  <si>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</si>
  <si>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</si>
  <si>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</si>
  <si>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</si>
  <si>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</si>
  <si>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</si>
  <si>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</si>
  <si>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</si>
  <si>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</si>
  <si>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</si>
  <si>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</si>
  <si>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</si>
  <si>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</si>
  <si>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</si>
  <si>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</si>
  <si>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</si>
  <si>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</si>
  <si>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</si>
  <si>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</si>
  <si>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</si>
  <si>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</si>
  <si>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</si>
  <si>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</si>
  <si>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</si>
  <si>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</si>
  <si>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</si>
  <si>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</si>
  <si>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</si>
  <si>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</si>
  <si>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</si>
  <si>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</si>
  <si>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</si>
  <si>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</si>
  <si>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</si>
  <si>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</si>
  <si>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</si>
  <si>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</si>
  <si>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</si>
  <si>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</si>
  <si>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</si>
  <si>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</si>
  <si>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</si>
  <si>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</si>
  <si>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</si>
  <si>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</si>
  <si>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</si>
  <si>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</si>
  <si>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</si>
  <si>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</si>
  <si>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</si>
  <si>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</si>
  <si>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</si>
  <si>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</si>
  <si>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</si>
  <si>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</si>
  <si>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</si>
  <si>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</si>
  <si>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</si>
  <si>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</si>
  <si>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</si>
  <si>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</si>
  <si>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</si>
  <si>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</si>
  <si>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</si>
  <si>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</si>
  <si>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</si>
  <si>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</si>
  <si>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</si>
  <si>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</si>
  <si>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</si>
  <si>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</si>
  <si>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</si>
  <si>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</si>
  <si>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</si>
  <si>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</si>
  <si>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</si>
  <si>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</si>
  <si>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</si>
  <si>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</si>
  <si>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</si>
  <si>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</si>
  <si>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</si>
  <si>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</si>
  <si>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</si>
  <si>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</si>
  <si>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</si>
  <si>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</si>
  <si>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</si>
  <si>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</si>
  <si>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</si>
  <si>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</si>
  <si>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</si>
  <si>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</si>
  <si>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</si>
  <si>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</si>
  <si>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</si>
  <si>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</si>
  <si>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</si>
  <si>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</si>
  <si>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</si>
  <si>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</si>
  <si>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</si>
  <si>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</si>
  <si>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</si>
  <si>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</si>
  <si>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</si>
  <si>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</si>
  <si>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</si>
  <si>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</si>
  <si>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</si>
  <si>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</si>
  <si>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</si>
  <si>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</si>
  <si>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</si>
  <si>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</si>
  <si>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</si>
  <si>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</si>
  <si>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</si>
  <si>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</si>
  <si>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</si>
  <si>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</si>
  <si>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</si>
  <si>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</si>
  <si>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</si>
  <si>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</si>
  <si>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</si>
  <si>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</si>
  <si>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</si>
  <si>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</si>
  <si>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</si>
  <si>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</si>
  <si>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</si>
  <si>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</si>
  <si>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</si>
  <si>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</si>
  <si>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</si>
  <si>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</si>
  <si>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</si>
  <si>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</si>
  <si>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</si>
  <si>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</si>
  <si>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</si>
  <si>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</si>
  <si>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</si>
  <si>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</si>
  <si>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</si>
  <si>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</si>
  <si>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</si>
  <si>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</si>
  <si>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</si>
  <si>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</si>
  <si>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</si>
  <si>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</si>
  <si>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</si>
  <si>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</si>
  <si>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</si>
  <si>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</si>
  <si>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</si>
  <si>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</si>
  <si>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</si>
  <si>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</si>
  <si>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</si>
  <si>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</si>
  <si>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</si>
  <si>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</si>
  <si>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</si>
  <si>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</si>
  <si>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</si>
  <si>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</si>
  <si>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</si>
  <si>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</si>
  <si>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</si>
  <si>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</si>
  <si>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</si>
  <si>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</si>
  <si>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</si>
  <si>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</si>
  <si>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</si>
  <si>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</si>
  <si>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</si>
  <si>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</si>
  <si>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</si>
  <si>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</si>
  <si>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</si>
  <si>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</si>
  <si>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</si>
  <si>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</si>
  <si>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</si>
  <si>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</si>
  <si>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</si>
  <si>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</si>
  <si>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</si>
  <si>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</si>
  <si>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</si>
  <si>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</si>
  <si>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</si>
  <si>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</si>
  <si>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</si>
  <si>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</si>
  <si>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</si>
  <si>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</si>
  <si>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</si>
  <si>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</si>
  <si>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</si>
  <si>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</si>
  <si>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</si>
  <si>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</si>
  <si>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</si>
  <si>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</si>
  <si>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</si>
  <si>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</si>
  <si>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</si>
  <si>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</si>
  <si>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</si>
  <si>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</si>
  <si>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</si>
  <si>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</si>
  <si>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</si>
  <si>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</si>
  <si>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</si>
  <si>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</si>
  <si>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</si>
  <si>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</si>
  <si>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</si>
  <si>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</si>
  <si>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</si>
  <si>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</si>
  <si>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</si>
  <si>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</si>
  <si>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</si>
  <si>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</si>
  <si>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</si>
  <si>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</si>
  <si>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</si>
  <si>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</si>
  <si>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</si>
  <si>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</si>
  <si>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</si>
  <si>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</si>
  <si>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</si>
  <si>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</si>
  <si>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</si>
  <si>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</si>
  <si>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</si>
  <si>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</si>
  <si>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</si>
  <si>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</si>
  <si>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</si>
  <si>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</si>
  <si>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</si>
  <si>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</si>
  <si>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</si>
  <si>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</si>
  <si>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</si>
  <si>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</si>
  <si>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</si>
  <si>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</si>
  <si>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</si>
  <si>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</si>
  <si>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</si>
  <si>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</si>
  <si>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</si>
  <si>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</si>
  <si>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</si>
  <si>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</si>
  <si>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</si>
  <si>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</si>
  <si>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</si>
  <si>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</si>
  <si>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</si>
  <si>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</si>
  <si>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</si>
  <si>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</si>
  <si>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</si>
  <si>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</si>
  <si>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</si>
  <si>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</si>
  <si>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</si>
  <si>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</si>
  <si>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</si>
  <si>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</si>
  <si>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</si>
  <si>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</si>
  <si>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</si>
  <si>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</si>
  <si>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</si>
  <si>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</si>
  <si>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</si>
  <si>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</si>
  <si>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</si>
  <si>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</si>
  <si>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</si>
  <si>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</si>
  <si>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</si>
  <si>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</si>
  <si>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</si>
  <si>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</si>
  <si>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</si>
  <si>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</si>
  <si>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</si>
  <si>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</si>
  <si>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</si>
  <si>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</si>
  <si>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</si>
  <si>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</si>
  <si>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</si>
  <si>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</si>
  <si>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</si>
  <si>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</si>
  <si>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</si>
  <si>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</si>
  <si>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</si>
  <si>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</si>
  <si>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</si>
  <si>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</si>
  <si>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</si>
  <si>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</si>
  <si>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</si>
  <si>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</si>
  <si>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</si>
  <si>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</si>
  <si>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</si>
  <si>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</si>
  <si>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</si>
  <si>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</si>
  <si>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</si>
  <si>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</si>
  <si>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</si>
  <si>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</si>
  <si>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</si>
  <si>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</si>
  <si>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</si>
  <si>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</si>
  <si>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</si>
  <si>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</si>
  <si>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</si>
  <si>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</si>
  <si>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</si>
  <si>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</si>
  <si>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</si>
  <si>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</si>
  <si>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</si>
  <si>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</si>
  <si>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</si>
  <si>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</si>
  <si>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</si>
  <si>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</si>
  <si>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</si>
  <si>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</si>
  <si>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</si>
  <si>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</si>
  <si>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</si>
  <si>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</si>
  <si>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</si>
  <si>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</si>
  <si>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</si>
  <si>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</si>
  <si>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</si>
  <si>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</si>
  <si>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</si>
  <si>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</si>
  <si>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</si>
  <si>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</si>
  <si>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</si>
  <si>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</si>
  <si>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</si>
  <si>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</si>
  <si>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</si>
  <si>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</si>
  <si>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</si>
  <si>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</si>
  <si>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</si>
  <si>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</si>
  <si>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</si>
  <si>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</si>
  <si>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</si>
  <si>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</si>
  <si>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</si>
  <si>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</si>
  <si>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</si>
  <si>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</si>
  <si>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</si>
  <si>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</si>
  <si>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</si>
  <si>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</si>
  <si>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</si>
  <si>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</si>
  <si>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</si>
  <si>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</si>
  <si>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</si>
  <si>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</si>
  <si>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</si>
  <si>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</si>
  <si>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</si>
  <si>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</si>
  <si>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</si>
  <si>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</si>
  <si>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</si>
  <si>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</si>
  <si>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</si>
  <si>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</si>
  <si>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</si>
  <si>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</si>
  <si>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</si>
  <si>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</si>
  <si>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</si>
  <si>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</si>
  <si>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</si>
  <si>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</si>
  <si>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</si>
  <si>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</si>
  <si>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</si>
  <si>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</si>
  <si>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</si>
  <si>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</si>
  <si>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</si>
  <si>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</si>
  <si>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</si>
  <si>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</si>
  <si>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</si>
  <si>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</si>
  <si>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</si>
  <si>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</si>
  <si>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</si>
  <si>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</si>
  <si>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</si>
  <si>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</si>
  <si>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</si>
  <si>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</si>
  <si>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</si>
  <si>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</si>
  <si>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</si>
  <si>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</si>
  <si>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</si>
  <si>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</si>
  <si>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</si>
  <si>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</si>
  <si>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</si>
  <si>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</si>
  <si>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</si>
  <si>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</si>
  <si>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</si>
  <si>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</si>
  <si>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</si>
  <si>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</si>
  <si>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</si>
  <si>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</si>
  <si>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</si>
  <si>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</si>
  <si>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</si>
  <si>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</si>
  <si>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</si>
  <si>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</si>
  <si>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</si>
  <si>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</si>
  <si>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</si>
  <si>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</si>
  <si>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</si>
  <si>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</si>
  <si>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</si>
  <si>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</si>
  <si>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</si>
  <si>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</si>
  <si>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</si>
  <si>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</si>
  <si>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</si>
  <si>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</si>
  <si>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</si>
  <si>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</si>
  <si>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</si>
  <si>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</si>
  <si>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</si>
  <si>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</si>
  <si>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</si>
  <si>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</si>
  <si>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</si>
  <si>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</si>
  <si>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</si>
  <si>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</si>
  <si>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</si>
  <si>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</si>
  <si>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</si>
  <si>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</si>
  <si>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</si>
  <si>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</si>
  <si>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</si>
  <si>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</si>
  <si>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</si>
  <si>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</si>
  <si>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</si>
  <si>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</si>
  <si>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</si>
  <si>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</si>
  <si>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</si>
  <si>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</si>
  <si>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</si>
  <si>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</si>
  <si>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</si>
  <si>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</si>
  <si>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</si>
  <si>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</si>
  <si>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</si>
  <si>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</si>
  <si>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</si>
  <si>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</si>
  <si>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</si>
  <si>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</si>
  <si>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</si>
  <si>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</si>
  <si>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</si>
  <si>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</si>
  <si>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</si>
  <si>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</si>
  <si>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</si>
  <si>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</si>
  <si>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</si>
  <si>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</si>
  <si>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</si>
  <si>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</si>
  <si>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</si>
  <si>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</si>
  <si>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</si>
  <si>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</si>
  <si>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</si>
  <si>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</si>
  <si>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</si>
  <si>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</si>
  <si>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</si>
  <si>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</si>
  <si>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</si>
  <si>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</si>
  <si>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</si>
  <si>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</si>
  <si>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</si>
  <si>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</si>
  <si>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</si>
  <si>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</si>
  <si>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</si>
  <si>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</si>
  <si>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</si>
  <si>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</si>
  <si>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</si>
  <si>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</si>
  <si>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</si>
  <si>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</si>
  <si>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</si>
  <si>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</si>
  <si>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</si>
  <si>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</si>
  <si>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</si>
  <si>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</si>
  <si>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</si>
  <si>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</si>
  <si>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</si>
  <si>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</si>
  <si>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</si>
  <si>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</si>
  <si>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</si>
  <si>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</si>
  <si>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</si>
  <si>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</si>
  <si>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</si>
  <si>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</si>
  <si>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</si>
  <si>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</si>
  <si>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</si>
  <si>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</si>
  <si>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</si>
  <si>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</si>
  <si>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</si>
  <si>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</si>
  <si>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</si>
  <si>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</si>
  <si>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</si>
  <si>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</si>
  <si>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</si>
  <si>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</si>
  <si>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</si>
  <si>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</si>
  <si>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</si>
  <si>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</si>
  <si>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</si>
  <si>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</si>
  <si>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</si>
  <si>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</si>
  <si>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</si>
  <si>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</si>
  <si>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</si>
  <si>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</si>
  <si>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</si>
  <si>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</si>
  <si>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</si>
  <si>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</si>
  <si>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</si>
  <si>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</si>
  <si>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</si>
  <si>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</si>
  <si>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</si>
  <si>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</si>
  <si>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</si>
  <si>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</si>
  <si>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</si>
  <si>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</si>
  <si>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</si>
  <si>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</si>
  <si>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</si>
  <si>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</si>
  <si>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</si>
  <si>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</si>
  <si>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</si>
  <si>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</si>
  <si>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</si>
  <si>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</si>
  <si>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</si>
  <si>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</si>
  <si>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</si>
  <si>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</si>
  <si>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</si>
  <si>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</si>
  <si>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</si>
  <si>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</si>
  <si>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</si>
  <si>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</si>
  <si>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</si>
  <si>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</si>
  <si>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</si>
  <si>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</si>
  <si>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</si>
  <si>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</si>
  <si>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</si>
  <si>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</si>
  <si>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</si>
  <si>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</si>
  <si>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</si>
  <si>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</si>
  <si>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</si>
  <si>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</si>
  <si>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</si>
  <si>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</si>
  <si>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</si>
  <si>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</si>
  <si>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</si>
  <si>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</si>
  <si>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</si>
  <si>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</si>
  <si>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</si>
  <si>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</si>
  <si>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</si>
  <si>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</si>
  <si>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</si>
  <si>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</si>
  <si>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</si>
  <si>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</si>
  <si>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</si>
  <si>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</si>
  <si>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</si>
  <si>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</si>
  <si>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</si>
  <si>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</si>
  <si>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</si>
  <si>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</si>
  <si>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</si>
  <si>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</si>
  <si>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</si>
  <si>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</si>
  <si>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</si>
  <si>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</si>
  <si>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</si>
  <si>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</si>
  <si>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</si>
  <si>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</si>
  <si>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</si>
  <si>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</si>
  <si>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</si>
  <si>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</si>
  <si>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</si>
  <si>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</si>
  <si>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</si>
  <si>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</si>
  <si>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</si>
  <si>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</si>
  <si>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</si>
  <si>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</si>
  <si>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</si>
  <si>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</si>
  <si>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</si>
  <si>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</si>
  <si>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</si>
  <si>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</si>
  <si>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</si>
  <si>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</si>
  <si>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</si>
  <si>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</si>
  <si>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</si>
  <si>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</si>
  <si>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</si>
  <si>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</si>
  <si>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</si>
  <si>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</si>
  <si>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</si>
  <si>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</si>
  <si>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</si>
  <si>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</si>
  <si>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</si>
  <si>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</si>
  <si>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</si>
  <si>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</si>
  <si>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</si>
  <si>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</si>
  <si>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</si>
  <si>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</si>
  <si>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</si>
  <si>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</si>
  <si>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</si>
  <si>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</si>
  <si>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</si>
  <si>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</si>
  <si>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</si>
  <si>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</si>
  <si>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</si>
  <si>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</si>
  <si>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</si>
  <si>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</si>
  <si>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</si>
  <si>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</si>
  <si>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</si>
  <si>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</si>
  <si>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</si>
  <si>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</si>
  <si>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</si>
  <si>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</si>
  <si>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</si>
  <si>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</si>
  <si>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</si>
  <si>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</si>
  <si>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</si>
  <si>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</si>
  <si>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</si>
  <si>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</si>
  <si>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</si>
  <si>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</si>
  <si>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</si>
  <si>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</si>
  <si>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</si>
  <si>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</si>
  <si>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</si>
  <si>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</si>
  <si>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</si>
  <si>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</si>
  <si>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</si>
  <si>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</si>
  <si>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</si>
  <si>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</si>
  <si>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</si>
  <si>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</si>
  <si>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</si>
  <si>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</si>
  <si>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</si>
  <si>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</si>
  <si>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</si>
  <si>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</si>
  <si>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</si>
  <si>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</si>
  <si>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</si>
  <si>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</si>
  <si>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</si>
  <si>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</si>
  <si>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</si>
  <si>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</si>
  <si>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</si>
  <si>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</si>
  <si>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</si>
  <si>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</si>
  <si>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</si>
  <si>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</si>
  <si>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</si>
  <si>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</si>
  <si>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</si>
  <si>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</si>
  <si>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</si>
  <si>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</si>
  <si>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</si>
  <si>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</si>
  <si>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</si>
  <si>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</si>
  <si>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</si>
  <si>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</si>
  <si>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</si>
  <si>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</si>
  <si>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</si>
  <si>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</si>
  <si>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41034</t>
  </si>
  <si>
    <t>LEDE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</si>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</sst>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41034</v>
      </c>
      <c r="B6" s="386"/>
      <c r="C6" s="387"/>
    </row>
    <row r="7" spans="1:7" s="384" customFormat="1" ht="15.75" customHeight="1">
      <c r="A7" s="388" t="str">
        <f>txtMunicipality</f>
        <v>LEDE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15716.318421704729</v>
      </c>
      <c r="D10" s="676">
        <f ca="1">tertiair!C16</f>
        <v>0</v>
      </c>
      <c r="E10" s="676">
        <f ca="1">tertiair!D16</f>
        <v>16605.823961221926</v>
      </c>
      <c r="F10" s="676">
        <f>tertiair!E16</f>
        <v>269.58833486871612</v>
      </c>
      <c r="G10" s="676">
        <f ca="1">tertiair!F16</f>
        <v>2772.6572222992681</v>
      </c>
      <c r="H10" s="676">
        <f>tertiair!G16</f>
        <v>0</v>
      </c>
      <c r="I10" s="676">
        <f>tertiair!H16</f>
        <v>0</v>
      </c>
      <c r="J10" s="676">
        <f>tertiair!I16</f>
        <v>0</v>
      </c>
      <c r="K10" s="676">
        <f>tertiair!J16</f>
        <v>0</v>
      </c>
      <c r="L10" s="676">
        <f>tertiair!K16</f>
        <v>0</v>
      </c>
      <c r="M10" s="676">
        <f ca="1">tertiair!L16</f>
        <v>0</v>
      </c>
      <c r="N10" s="676">
        <f>tertiair!M16</f>
        <v>0</v>
      </c>
      <c r="O10" s="676">
        <f ca="1">tertiair!N16</f>
        <v>300.72079538467801</v>
      </c>
      <c r="P10" s="676">
        <f>tertiair!O16</f>
        <v>0</v>
      </c>
      <c r="Q10" s="677">
        <f>tertiair!P16</f>
        <v>38.133333333333333</v>
      </c>
      <c r="R10" s="679">
        <f ca="1">SUM(C10:Q10)</f>
        <v>35703.242068812651</v>
      </c>
      <c r="S10" s="67"/>
    </row>
    <row r="11" spans="1:19" s="445" customFormat="1">
      <c r="A11" s="791" t="s">
        <v>220</v>
      </c>
      <c r="B11" s="796"/>
      <c r="C11" s="676">
        <f>huishoudens!B8</f>
        <v>37391.975597992736</v>
      </c>
      <c r="D11" s="676">
        <f>huishoudens!C8</f>
        <v>0</v>
      </c>
      <c r="E11" s="676">
        <f>huishoudens!D8</f>
        <v>63819.344538578058</v>
      </c>
      <c r="F11" s="676">
        <f>huishoudens!E8</f>
        <v>1676.5036079932277</v>
      </c>
      <c r="G11" s="676">
        <f>huishoudens!F8</f>
        <v>57226.437449614801</v>
      </c>
      <c r="H11" s="676">
        <f>huishoudens!G8</f>
        <v>0</v>
      </c>
      <c r="I11" s="676">
        <f>huishoudens!H8</f>
        <v>0</v>
      </c>
      <c r="J11" s="676">
        <f>huishoudens!I8</f>
        <v>0</v>
      </c>
      <c r="K11" s="676">
        <f>huishoudens!J8</f>
        <v>1288.5942859119314</v>
      </c>
      <c r="L11" s="676">
        <f>huishoudens!K8</f>
        <v>0</v>
      </c>
      <c r="M11" s="676">
        <f>huishoudens!L8</f>
        <v>0</v>
      </c>
      <c r="N11" s="676">
        <f>huishoudens!M8</f>
        <v>0</v>
      </c>
      <c r="O11" s="676">
        <f>huishoudens!N8</f>
        <v>9167.0748230402969</v>
      </c>
      <c r="P11" s="676">
        <f>huishoudens!O8</f>
        <v>76.603333333333339</v>
      </c>
      <c r="Q11" s="677">
        <f>huishoudens!P8</f>
        <v>495.73333333333335</v>
      </c>
      <c r="R11" s="679">
        <f>SUM(C11:Q11)</f>
        <v>171142.26696979773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2964.8304533102519</v>
      </c>
      <c r="D13" s="676">
        <f>industrie!C18</f>
        <v>0</v>
      </c>
      <c r="E13" s="676">
        <f>industrie!D18</f>
        <v>1215.4199716752678</v>
      </c>
      <c r="F13" s="676">
        <f>industrie!E18</f>
        <v>33.768720619574992</v>
      </c>
      <c r="G13" s="676">
        <f>industrie!F18</f>
        <v>1076.8956882703712</v>
      </c>
      <c r="H13" s="676">
        <f>industrie!G18</f>
        <v>0</v>
      </c>
      <c r="I13" s="676">
        <f>industrie!H18</f>
        <v>0</v>
      </c>
      <c r="J13" s="676">
        <f>industrie!I18</f>
        <v>0</v>
      </c>
      <c r="K13" s="676">
        <f>industrie!J18</f>
        <v>13.956106244372036</v>
      </c>
      <c r="L13" s="676">
        <f>industrie!K18</f>
        <v>0</v>
      </c>
      <c r="M13" s="676">
        <f>industrie!L18</f>
        <v>0</v>
      </c>
      <c r="N13" s="676">
        <f>industrie!M18</f>
        <v>0</v>
      </c>
      <c r="O13" s="676">
        <f>industrie!N18</f>
        <v>99.797600364515844</v>
      </c>
      <c r="P13" s="676">
        <f>industrie!O18</f>
        <v>0</v>
      </c>
      <c r="Q13" s="677">
        <f>industrie!P18</f>
        <v>0</v>
      </c>
      <c r="R13" s="679">
        <f>SUM(C13:Q13)</f>
        <v>5404.6685404843538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56073.124473007716</v>
      </c>
      <c r="D16" s="709">
        <f t="shared" ref="D16:R16" ca="1" si="0">SUM(D9:D15)</f>
        <v>0</v>
      </c>
      <c r="E16" s="709">
        <f t="shared" ca="1" si="0"/>
        <v>81640.588471475246</v>
      </c>
      <c r="F16" s="709">
        <f t="shared" si="0"/>
        <v>1979.8606634815187</v>
      </c>
      <c r="G16" s="709">
        <f t="shared" ca="1" si="0"/>
        <v>61075.990360184442</v>
      </c>
      <c r="H16" s="709">
        <f t="shared" si="0"/>
        <v>0</v>
      </c>
      <c r="I16" s="709">
        <f t="shared" si="0"/>
        <v>0</v>
      </c>
      <c r="J16" s="709">
        <f t="shared" si="0"/>
        <v>0</v>
      </c>
      <c r="K16" s="709">
        <f t="shared" si="0"/>
        <v>1302.5503921563034</v>
      </c>
      <c r="L16" s="709">
        <f t="shared" si="0"/>
        <v>0</v>
      </c>
      <c r="M16" s="709">
        <f t="shared" ca="1" si="0"/>
        <v>0</v>
      </c>
      <c r="N16" s="709">
        <f t="shared" si="0"/>
        <v>0</v>
      </c>
      <c r="O16" s="709">
        <f t="shared" ca="1" si="0"/>
        <v>9567.5932187894905</v>
      </c>
      <c r="P16" s="709">
        <f t="shared" si="0"/>
        <v>76.603333333333339</v>
      </c>
      <c r="Q16" s="709">
        <f t="shared" si="0"/>
        <v>533.86666666666667</v>
      </c>
      <c r="R16" s="709">
        <f t="shared" ca="1" si="0"/>
        <v>212250.17757909474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4.0692263594990878</v>
      </c>
      <c r="D19" s="676">
        <f>transport!C54</f>
        <v>0</v>
      </c>
      <c r="E19" s="676">
        <f>transport!D54</f>
        <v>0</v>
      </c>
      <c r="F19" s="676">
        <f>transport!E54</f>
        <v>0</v>
      </c>
      <c r="G19" s="676">
        <f>transport!F54</f>
        <v>0</v>
      </c>
      <c r="H19" s="676">
        <f>transport!G54</f>
        <v>882.77780423706622</v>
      </c>
      <c r="I19" s="676">
        <f>transport!H54</f>
        <v>0</v>
      </c>
      <c r="J19" s="676">
        <f>transport!I54</f>
        <v>0</v>
      </c>
      <c r="K19" s="676">
        <f>transport!J54</f>
        <v>0</v>
      </c>
      <c r="L19" s="676">
        <f>transport!K54</f>
        <v>0</v>
      </c>
      <c r="M19" s="676">
        <f>transport!L54</f>
        <v>0</v>
      </c>
      <c r="N19" s="676">
        <f>transport!M54</f>
        <v>37.797154608048942</v>
      </c>
      <c r="O19" s="676">
        <f>transport!N54</f>
        <v>0</v>
      </c>
      <c r="P19" s="676">
        <f>transport!O54</f>
        <v>0</v>
      </c>
      <c r="Q19" s="677">
        <f>transport!P54</f>
        <v>0</v>
      </c>
      <c r="R19" s="679">
        <f>SUM(C19:Q19)</f>
        <v>924.64418520461425</v>
      </c>
      <c r="S19" s="67"/>
    </row>
    <row r="20" spans="1:19" s="445" customFormat="1">
      <c r="A20" s="791" t="s">
        <v>302</v>
      </c>
      <c r="B20" s="796"/>
      <c r="C20" s="676">
        <f>transport!B14</f>
        <v>1.4188239883912777</v>
      </c>
      <c r="D20" s="676">
        <f>transport!C14</f>
        <v>0</v>
      </c>
      <c r="E20" s="676">
        <f>transport!D14</f>
        <v>4.82738753116179</v>
      </c>
      <c r="F20" s="676">
        <f>transport!E14</f>
        <v>549.99181936359639</v>
      </c>
      <c r="G20" s="676">
        <f>transport!F14</f>
        <v>0</v>
      </c>
      <c r="H20" s="676">
        <f>transport!G14</f>
        <v>101611.73217742184</v>
      </c>
      <c r="I20" s="676">
        <f>transport!H14</f>
        <v>16310.582986514999</v>
      </c>
      <c r="J20" s="676">
        <f>transport!I14</f>
        <v>0</v>
      </c>
      <c r="K20" s="676">
        <f>transport!J14</f>
        <v>0</v>
      </c>
      <c r="L20" s="676">
        <f>transport!K14</f>
        <v>0</v>
      </c>
      <c r="M20" s="676">
        <f>transport!L14</f>
        <v>0</v>
      </c>
      <c r="N20" s="676">
        <f>transport!M14</f>
        <v>5128.0453429769541</v>
      </c>
      <c r="O20" s="676">
        <f>transport!N14</f>
        <v>0</v>
      </c>
      <c r="P20" s="676">
        <f>transport!O14</f>
        <v>0</v>
      </c>
      <c r="Q20" s="677">
        <f>transport!P14</f>
        <v>0</v>
      </c>
      <c r="R20" s="679">
        <f>SUM(C20:Q20)</f>
        <v>123606.59853779695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5.4880503478903657</v>
      </c>
      <c r="D22" s="794">
        <f t="shared" ref="D22:R22" si="1">SUM(D18:D21)</f>
        <v>0</v>
      </c>
      <c r="E22" s="794">
        <f t="shared" si="1"/>
        <v>4.82738753116179</v>
      </c>
      <c r="F22" s="794">
        <f t="shared" si="1"/>
        <v>549.99181936359639</v>
      </c>
      <c r="G22" s="794">
        <f t="shared" si="1"/>
        <v>0</v>
      </c>
      <c r="H22" s="794">
        <f t="shared" si="1"/>
        <v>102494.50998165891</v>
      </c>
      <c r="I22" s="794">
        <f t="shared" si="1"/>
        <v>16310.582986514999</v>
      </c>
      <c r="J22" s="794">
        <f t="shared" si="1"/>
        <v>0</v>
      </c>
      <c r="K22" s="794">
        <f t="shared" si="1"/>
        <v>0</v>
      </c>
      <c r="L22" s="794">
        <f t="shared" si="1"/>
        <v>0</v>
      </c>
      <c r="M22" s="794">
        <f t="shared" si="1"/>
        <v>0</v>
      </c>
      <c r="N22" s="794">
        <f t="shared" si="1"/>
        <v>5165.842497585003</v>
      </c>
      <c r="O22" s="794">
        <f t="shared" si="1"/>
        <v>0</v>
      </c>
      <c r="P22" s="794">
        <f t="shared" si="1"/>
        <v>0</v>
      </c>
      <c r="Q22" s="794">
        <f t="shared" si="1"/>
        <v>0</v>
      </c>
      <c r="R22" s="794">
        <f t="shared" si="1"/>
        <v>124531.24272300156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903.77055615553604</v>
      </c>
      <c r="D24" s="676">
        <f>+landbouw!C8</f>
        <v>0</v>
      </c>
      <c r="E24" s="676">
        <f>+landbouw!D8</f>
        <v>188.76947926421889</v>
      </c>
      <c r="F24" s="676">
        <f>+landbouw!E8</f>
        <v>9.4644809224072795</v>
      </c>
      <c r="G24" s="676">
        <f>+landbouw!F8</f>
        <v>3868.824700123304</v>
      </c>
      <c r="H24" s="676">
        <f>+landbouw!G8</f>
        <v>0</v>
      </c>
      <c r="I24" s="676">
        <f>+landbouw!H8</f>
        <v>0</v>
      </c>
      <c r="J24" s="676">
        <f>+landbouw!I8</f>
        <v>0</v>
      </c>
      <c r="K24" s="676">
        <f>+landbouw!J8</f>
        <v>80.714811298378251</v>
      </c>
      <c r="L24" s="676">
        <f>+landbouw!K8</f>
        <v>0</v>
      </c>
      <c r="M24" s="676">
        <f>+landbouw!L8</f>
        <v>0</v>
      </c>
      <c r="N24" s="676">
        <f>+landbouw!M8</f>
        <v>0</v>
      </c>
      <c r="O24" s="676">
        <f>+landbouw!N8</f>
        <v>0</v>
      </c>
      <c r="P24" s="676">
        <f>+landbouw!O8</f>
        <v>0</v>
      </c>
      <c r="Q24" s="677">
        <f>+landbouw!P8</f>
        <v>0</v>
      </c>
      <c r="R24" s="679">
        <f>SUM(C24:Q24)</f>
        <v>5051.5440277638454</v>
      </c>
      <c r="S24" s="67"/>
    </row>
    <row r="25" spans="1:19" s="445" customFormat="1" ht="15" thickBot="1">
      <c r="A25" s="813" t="s">
        <v>895</v>
      </c>
      <c r="B25" s="968"/>
      <c r="C25" s="969">
        <f>IF(Onbekend_ele_kWh="---",0,Onbekend_ele_kWh)/1000+IF(REST_rest_ele_kWh="---",0,REST_rest_ele_kWh)/1000</f>
        <v>1300.0929677064601</v>
      </c>
      <c r="D25" s="969"/>
      <c r="E25" s="969">
        <f>IF(onbekend_gas_kWh="---",0,onbekend_gas_kWh)/1000+IF(REST_rest_gas_kWh="---",0,REST_rest_gas_kWh)/1000</f>
        <v>2877.81092115197</v>
      </c>
      <c r="F25" s="969"/>
      <c r="G25" s="969"/>
      <c r="H25" s="969"/>
      <c r="I25" s="969"/>
      <c r="J25" s="969"/>
      <c r="K25" s="969"/>
      <c r="L25" s="969"/>
      <c r="M25" s="969"/>
      <c r="N25" s="969"/>
      <c r="O25" s="969"/>
      <c r="P25" s="969"/>
      <c r="Q25" s="970"/>
      <c r="R25" s="679">
        <f>SUM(C25:Q25)</f>
        <v>4177.90388885843</v>
      </c>
      <c r="S25" s="67"/>
    </row>
    <row r="26" spans="1:19" s="445" customFormat="1" ht="15.75" thickBot="1">
      <c r="A26" s="682" t="s">
        <v>896</v>
      </c>
      <c r="B26" s="799"/>
      <c r="C26" s="794">
        <f>SUM(C24:C25)</f>
        <v>2203.8635238619963</v>
      </c>
      <c r="D26" s="794">
        <f t="shared" ref="D26:R26" si="2">SUM(D24:D25)</f>
        <v>0</v>
      </c>
      <c r="E26" s="794">
        <f t="shared" si="2"/>
        <v>3066.5804004161887</v>
      </c>
      <c r="F26" s="794">
        <f t="shared" si="2"/>
        <v>9.4644809224072795</v>
      </c>
      <c r="G26" s="794">
        <f t="shared" si="2"/>
        <v>3868.824700123304</v>
      </c>
      <c r="H26" s="794">
        <f t="shared" si="2"/>
        <v>0</v>
      </c>
      <c r="I26" s="794">
        <f t="shared" si="2"/>
        <v>0</v>
      </c>
      <c r="J26" s="794">
        <f t="shared" si="2"/>
        <v>0</v>
      </c>
      <c r="K26" s="794">
        <f t="shared" si="2"/>
        <v>80.714811298378251</v>
      </c>
      <c r="L26" s="794">
        <f t="shared" si="2"/>
        <v>0</v>
      </c>
      <c r="M26" s="794">
        <f t="shared" si="2"/>
        <v>0</v>
      </c>
      <c r="N26" s="794">
        <f t="shared" si="2"/>
        <v>0</v>
      </c>
      <c r="O26" s="794">
        <f t="shared" si="2"/>
        <v>0</v>
      </c>
      <c r="P26" s="794">
        <f t="shared" si="2"/>
        <v>0</v>
      </c>
      <c r="Q26" s="794">
        <f t="shared" si="2"/>
        <v>0</v>
      </c>
      <c r="R26" s="794">
        <f t="shared" si="2"/>
        <v>9229.4479166222754</v>
      </c>
      <c r="S26" s="67"/>
    </row>
    <row r="27" spans="1:19" s="445" customFormat="1" ht="17.25" thickTop="1" thickBot="1">
      <c r="A27" s="683" t="s">
        <v>115</v>
      </c>
      <c r="B27" s="786"/>
      <c r="C27" s="684">
        <f ca="1">C22+C16+C26</f>
        <v>58282.476047217606</v>
      </c>
      <c r="D27" s="684">
        <f t="shared" ref="D27:R27" ca="1" si="3">D22+D16+D26</f>
        <v>0</v>
      </c>
      <c r="E27" s="684">
        <f t="shared" ca="1" si="3"/>
        <v>84711.996259422594</v>
      </c>
      <c r="F27" s="684">
        <f t="shared" si="3"/>
        <v>2539.3169637675223</v>
      </c>
      <c r="G27" s="684">
        <f t="shared" ca="1" si="3"/>
        <v>64944.815060307745</v>
      </c>
      <c r="H27" s="684">
        <f t="shared" si="3"/>
        <v>102494.50998165891</v>
      </c>
      <c r="I27" s="684">
        <f t="shared" si="3"/>
        <v>16310.582986514999</v>
      </c>
      <c r="J27" s="684">
        <f t="shared" si="3"/>
        <v>0</v>
      </c>
      <c r="K27" s="684">
        <f t="shared" si="3"/>
        <v>1383.2652034546816</v>
      </c>
      <c r="L27" s="684">
        <f t="shared" si="3"/>
        <v>0</v>
      </c>
      <c r="M27" s="684">
        <f t="shared" ca="1" si="3"/>
        <v>0</v>
      </c>
      <c r="N27" s="684">
        <f t="shared" si="3"/>
        <v>5165.842497585003</v>
      </c>
      <c r="O27" s="684">
        <f t="shared" ca="1" si="3"/>
        <v>9567.5932187894905</v>
      </c>
      <c r="P27" s="684">
        <f t="shared" si="3"/>
        <v>76.603333333333339</v>
      </c>
      <c r="Q27" s="684">
        <f t="shared" si="3"/>
        <v>533.86666666666667</v>
      </c>
      <c r="R27" s="684">
        <f t="shared" ca="1" si="3"/>
        <v>346010.86821871856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3370.5720247601671</v>
      </c>
      <c r="D40" s="676">
        <f ca="1">tertiair!C20</f>
        <v>0</v>
      </c>
      <c r="E40" s="676">
        <f ca="1">tertiair!D20</f>
        <v>3354.3764401668291</v>
      </c>
      <c r="F40" s="676">
        <f>tertiair!E20</f>
        <v>61.196552015198563</v>
      </c>
      <c r="G40" s="676">
        <f ca="1">tertiair!F20</f>
        <v>740.29947835390465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7526.4444952960994</v>
      </c>
    </row>
    <row r="41" spans="1:18">
      <c r="A41" s="804" t="s">
        <v>220</v>
      </c>
      <c r="B41" s="811"/>
      <c r="C41" s="676">
        <f ca="1">huishoudens!B12</f>
        <v>8019.2029404961977</v>
      </c>
      <c r="D41" s="676">
        <f ca="1">huishoudens!C12</f>
        <v>0</v>
      </c>
      <c r="E41" s="676">
        <f>huishoudens!D12</f>
        <v>12891.507596792768</v>
      </c>
      <c r="F41" s="676">
        <f>huishoudens!E12</f>
        <v>380.56631901446269</v>
      </c>
      <c r="G41" s="676">
        <f>huishoudens!F12</f>
        <v>15279.458799047154</v>
      </c>
      <c r="H41" s="676">
        <f>huishoudens!G12</f>
        <v>0</v>
      </c>
      <c r="I41" s="676">
        <f>huishoudens!H12</f>
        <v>0</v>
      </c>
      <c r="J41" s="676">
        <f>huishoudens!I12</f>
        <v>0</v>
      </c>
      <c r="K41" s="676">
        <f>huishoudens!J12</f>
        <v>456.16237721282369</v>
      </c>
      <c r="L41" s="676">
        <f>huishoudens!K12</f>
        <v>0</v>
      </c>
      <c r="M41" s="676">
        <f>huishoudens!L12</f>
        <v>0</v>
      </c>
      <c r="N41" s="676">
        <f>huishoudens!M12</f>
        <v>0</v>
      </c>
      <c r="O41" s="676">
        <f>huishoudens!N12</f>
        <v>0</v>
      </c>
      <c r="P41" s="676">
        <f>huishoudens!O12</f>
        <v>0</v>
      </c>
      <c r="Q41" s="751">
        <f>huishoudens!P12</f>
        <v>0</v>
      </c>
      <c r="R41" s="832">
        <f t="shared" ca="1" si="4"/>
        <v>37026.898032563404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635.84704228718419</v>
      </c>
      <c r="D43" s="676">
        <f ca="1">industrie!C22</f>
        <v>0</v>
      </c>
      <c r="E43" s="676">
        <f>industrie!D22</f>
        <v>245.51483427840409</v>
      </c>
      <c r="F43" s="676">
        <f>industrie!E22</f>
        <v>7.6654995806435231</v>
      </c>
      <c r="G43" s="676">
        <f>industrie!F22</f>
        <v>287.53114876818915</v>
      </c>
      <c r="H43" s="676">
        <f>industrie!G22</f>
        <v>0</v>
      </c>
      <c r="I43" s="676">
        <f>industrie!H22</f>
        <v>0</v>
      </c>
      <c r="J43" s="676">
        <f>industrie!I22</f>
        <v>0</v>
      </c>
      <c r="K43" s="676">
        <f>industrie!J22</f>
        <v>4.9404616105077004</v>
      </c>
      <c r="L43" s="676">
        <f>industrie!K22</f>
        <v>0</v>
      </c>
      <c r="M43" s="676">
        <f>industrie!L22</f>
        <v>0</v>
      </c>
      <c r="N43" s="676">
        <f>industrie!M22</f>
        <v>0</v>
      </c>
      <c r="O43" s="676">
        <f>industrie!N22</f>
        <v>0</v>
      </c>
      <c r="P43" s="676">
        <f>industrie!O22</f>
        <v>0</v>
      </c>
      <c r="Q43" s="751">
        <f>industrie!P22</f>
        <v>0</v>
      </c>
      <c r="R43" s="831">
        <f t="shared" ca="1" si="4"/>
        <v>1181.4989865249288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12025.622007543549</v>
      </c>
      <c r="D46" s="709">
        <f t="shared" ref="D46:Q46" ca="1" si="5">SUM(D39:D45)</f>
        <v>0</v>
      </c>
      <c r="E46" s="709">
        <f t="shared" ca="1" si="5"/>
        <v>16491.398871238001</v>
      </c>
      <c r="F46" s="709">
        <f t="shared" si="5"/>
        <v>449.4283706103048</v>
      </c>
      <c r="G46" s="709">
        <f t="shared" ca="1" si="5"/>
        <v>16307.289426169247</v>
      </c>
      <c r="H46" s="709">
        <f t="shared" si="5"/>
        <v>0</v>
      </c>
      <c r="I46" s="709">
        <f t="shared" si="5"/>
        <v>0</v>
      </c>
      <c r="J46" s="709">
        <f t="shared" si="5"/>
        <v>0</v>
      </c>
      <c r="K46" s="709">
        <f t="shared" si="5"/>
        <v>461.10283882333141</v>
      </c>
      <c r="L46" s="709">
        <f t="shared" si="5"/>
        <v>0</v>
      </c>
      <c r="M46" s="709">
        <f t="shared" ca="1" si="5"/>
        <v>0</v>
      </c>
      <c r="N46" s="709">
        <f t="shared" si="5"/>
        <v>0</v>
      </c>
      <c r="O46" s="709">
        <f t="shared" ca="1" si="5"/>
        <v>0</v>
      </c>
      <c r="P46" s="709">
        <f t="shared" si="5"/>
        <v>0</v>
      </c>
      <c r="Q46" s="709">
        <f t="shared" si="5"/>
        <v>0</v>
      </c>
      <c r="R46" s="709">
        <f ca="1">SUM(R39:R45)</f>
        <v>45734.841514384432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0.87269932828559771</v>
      </c>
      <c r="D49" s="676">
        <f ca="1">transport!C58</f>
        <v>0</v>
      </c>
      <c r="E49" s="676">
        <f>transport!D58</f>
        <v>0</v>
      </c>
      <c r="F49" s="676">
        <f>transport!E58</f>
        <v>0</v>
      </c>
      <c r="G49" s="676">
        <f>transport!F58</f>
        <v>0</v>
      </c>
      <c r="H49" s="676">
        <f>transport!G58</f>
        <v>235.70167373129669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236.57437305958229</v>
      </c>
    </row>
    <row r="50" spans="1:18">
      <c r="A50" s="807" t="s">
        <v>302</v>
      </c>
      <c r="B50" s="817"/>
      <c r="C50" s="975">
        <f ca="1">transport!B18</f>
        <v>0.30428554035440314</v>
      </c>
      <c r="D50" s="975">
        <f>transport!C18</f>
        <v>0</v>
      </c>
      <c r="E50" s="975">
        <f>transport!D18</f>
        <v>0.97513228129468166</v>
      </c>
      <c r="F50" s="975">
        <f>transport!E18</f>
        <v>124.84814299553638</v>
      </c>
      <c r="G50" s="975">
        <f>transport!F18</f>
        <v>0</v>
      </c>
      <c r="H50" s="975">
        <f>transport!G18</f>
        <v>27130.332491371635</v>
      </c>
      <c r="I50" s="975">
        <f>transport!H18</f>
        <v>4061.3351636422349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31317.795215831055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1.1769848686400008</v>
      </c>
      <c r="D52" s="709">
        <f t="shared" ref="D52:Q52" ca="1" si="6">SUM(D48:D51)</f>
        <v>0</v>
      </c>
      <c r="E52" s="709">
        <f t="shared" si="6"/>
        <v>0.97513228129468166</v>
      </c>
      <c r="F52" s="709">
        <f t="shared" si="6"/>
        <v>124.84814299553638</v>
      </c>
      <c r="G52" s="709">
        <f t="shared" si="6"/>
        <v>0</v>
      </c>
      <c r="H52" s="709">
        <f t="shared" si="6"/>
        <v>27366.03416510293</v>
      </c>
      <c r="I52" s="709">
        <f t="shared" si="6"/>
        <v>4061.3351636422349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31554.369588890637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193.82553035912383</v>
      </c>
      <c r="D54" s="975">
        <f ca="1">+landbouw!C12</f>
        <v>0</v>
      </c>
      <c r="E54" s="975">
        <f>+landbouw!D12</f>
        <v>38.131434811372216</v>
      </c>
      <c r="F54" s="975">
        <f>+landbouw!E12</f>
        <v>2.1484371693864524</v>
      </c>
      <c r="G54" s="975">
        <f>+landbouw!F12</f>
        <v>1032.9761949329222</v>
      </c>
      <c r="H54" s="975">
        <f>+landbouw!G12</f>
        <v>0</v>
      </c>
      <c r="I54" s="975">
        <f>+landbouw!H12</f>
        <v>0</v>
      </c>
      <c r="J54" s="975">
        <f>+landbouw!I12</f>
        <v>0</v>
      </c>
      <c r="K54" s="975">
        <f>+landbouw!J12</f>
        <v>28.5730431996259</v>
      </c>
      <c r="L54" s="975">
        <f>+landbouw!K12</f>
        <v>0</v>
      </c>
      <c r="M54" s="975">
        <f>+landbouw!L12</f>
        <v>0</v>
      </c>
      <c r="N54" s="975">
        <f>+landbouw!M12</f>
        <v>0</v>
      </c>
      <c r="O54" s="975">
        <f>+landbouw!N12</f>
        <v>0</v>
      </c>
      <c r="P54" s="975">
        <f>+landbouw!O12</f>
        <v>0</v>
      </c>
      <c r="Q54" s="976">
        <f>+landbouw!P12</f>
        <v>0</v>
      </c>
      <c r="R54" s="708">
        <f ca="1">SUM(C54:Q54)</f>
        <v>1295.6546404724306</v>
      </c>
    </row>
    <row r="55" spans="1:18" ht="15" thickBot="1">
      <c r="A55" s="807" t="s">
        <v>895</v>
      </c>
      <c r="B55" s="817"/>
      <c r="C55" s="975">
        <f ca="1">C25*'EF ele_warmte'!B12</f>
        <v>278.82210508582335</v>
      </c>
      <c r="D55" s="975"/>
      <c r="E55" s="975">
        <f>E25*EF_CO2_aardgas</f>
        <v>581.31780607269798</v>
      </c>
      <c r="F55" s="975"/>
      <c r="G55" s="975"/>
      <c r="H55" s="975"/>
      <c r="I55" s="975"/>
      <c r="J55" s="975"/>
      <c r="K55" s="975"/>
      <c r="L55" s="975"/>
      <c r="M55" s="975"/>
      <c r="N55" s="975"/>
      <c r="O55" s="975"/>
      <c r="P55" s="975"/>
      <c r="Q55" s="976"/>
      <c r="R55" s="708">
        <f ca="1">SUM(C55:Q55)</f>
        <v>860.13991115852127</v>
      </c>
    </row>
    <row r="56" spans="1:18" ht="15.75" thickBot="1">
      <c r="A56" s="805" t="s">
        <v>896</v>
      </c>
      <c r="B56" s="818"/>
      <c r="C56" s="709">
        <f ca="1">SUM(C54:C55)</f>
        <v>472.64763544494718</v>
      </c>
      <c r="D56" s="709">
        <f t="shared" ref="D56:Q56" ca="1" si="7">SUM(D54:D55)</f>
        <v>0</v>
      </c>
      <c r="E56" s="709">
        <f t="shared" si="7"/>
        <v>619.44924088407015</v>
      </c>
      <c r="F56" s="709">
        <f t="shared" si="7"/>
        <v>2.1484371693864524</v>
      </c>
      <c r="G56" s="709">
        <f t="shared" si="7"/>
        <v>1032.9761949329222</v>
      </c>
      <c r="H56" s="709">
        <f t="shared" si="7"/>
        <v>0</v>
      </c>
      <c r="I56" s="709">
        <f t="shared" si="7"/>
        <v>0</v>
      </c>
      <c r="J56" s="709">
        <f t="shared" si="7"/>
        <v>0</v>
      </c>
      <c r="K56" s="709">
        <f t="shared" si="7"/>
        <v>28.5730431996259</v>
      </c>
      <c r="L56" s="709">
        <f t="shared" si="7"/>
        <v>0</v>
      </c>
      <c r="M56" s="709">
        <f t="shared" si="7"/>
        <v>0</v>
      </c>
      <c r="N56" s="709">
        <f t="shared" si="7"/>
        <v>0</v>
      </c>
      <c r="O56" s="709">
        <f t="shared" si="7"/>
        <v>0</v>
      </c>
      <c r="P56" s="709">
        <f t="shared" si="7"/>
        <v>0</v>
      </c>
      <c r="Q56" s="710">
        <f t="shared" si="7"/>
        <v>0</v>
      </c>
      <c r="R56" s="711">
        <f ca="1">SUM(R54:R55)</f>
        <v>2155.7945516309519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12499.446627857136</v>
      </c>
      <c r="D61" s="717">
        <f t="shared" ref="D61:Q61" ca="1" si="8">D46+D52+D56</f>
        <v>0</v>
      </c>
      <c r="E61" s="717">
        <f t="shared" ca="1" si="8"/>
        <v>17111.823244403367</v>
      </c>
      <c r="F61" s="717">
        <f t="shared" si="8"/>
        <v>576.42495077522756</v>
      </c>
      <c r="G61" s="717">
        <f t="shared" ca="1" si="8"/>
        <v>17340.265621102168</v>
      </c>
      <c r="H61" s="717">
        <f t="shared" si="8"/>
        <v>27366.03416510293</v>
      </c>
      <c r="I61" s="717">
        <f t="shared" si="8"/>
        <v>4061.3351636422349</v>
      </c>
      <c r="J61" s="717">
        <f t="shared" si="8"/>
        <v>0</v>
      </c>
      <c r="K61" s="717">
        <f t="shared" si="8"/>
        <v>489.6758820229573</v>
      </c>
      <c r="L61" s="717">
        <f t="shared" si="8"/>
        <v>0</v>
      </c>
      <c r="M61" s="717">
        <f t="shared" ca="1" si="8"/>
        <v>0</v>
      </c>
      <c r="N61" s="717">
        <f t="shared" si="8"/>
        <v>0</v>
      </c>
      <c r="O61" s="717">
        <f t="shared" ca="1" si="8"/>
        <v>0</v>
      </c>
      <c r="P61" s="717">
        <f t="shared" si="8"/>
        <v>0</v>
      </c>
      <c r="Q61" s="717">
        <f t="shared" si="8"/>
        <v>0</v>
      </c>
      <c r="R61" s="717">
        <f ca="1">R46+R52+R56</f>
        <v>79445.005654906025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0.21446320533346416</v>
      </c>
      <c r="D63" s="761">
        <f t="shared" ca="1" si="9"/>
        <v>0</v>
      </c>
      <c r="E63" s="977">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13</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1710.8940207147241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1723.8940207147241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37391.975597992736</v>
      </c>
      <c r="C4" s="449">
        <f>huishoudens!C8</f>
        <v>0</v>
      </c>
      <c r="D4" s="449">
        <f>huishoudens!D8</f>
        <v>63819.344538578058</v>
      </c>
      <c r="E4" s="449">
        <f>huishoudens!E8</f>
        <v>1676.5036079932277</v>
      </c>
      <c r="F4" s="449">
        <f>huishoudens!F8</f>
        <v>57226.437449614801</v>
      </c>
      <c r="G4" s="449">
        <f>huishoudens!G8</f>
        <v>0</v>
      </c>
      <c r="H4" s="449">
        <f>huishoudens!H8</f>
        <v>0</v>
      </c>
      <c r="I4" s="449">
        <f>huishoudens!I8</f>
        <v>0</v>
      </c>
      <c r="J4" s="449">
        <f>huishoudens!J8</f>
        <v>1288.5942859119314</v>
      </c>
      <c r="K4" s="449">
        <f>huishoudens!K8</f>
        <v>0</v>
      </c>
      <c r="L4" s="449">
        <f>huishoudens!L8</f>
        <v>0</v>
      </c>
      <c r="M4" s="449">
        <f>huishoudens!M8</f>
        <v>0</v>
      </c>
      <c r="N4" s="449">
        <f>huishoudens!N8</f>
        <v>9167.0748230402969</v>
      </c>
      <c r="O4" s="449">
        <f>huishoudens!O8</f>
        <v>76.603333333333339</v>
      </c>
      <c r="P4" s="450">
        <f>huishoudens!P8</f>
        <v>495.73333333333335</v>
      </c>
      <c r="Q4" s="451">
        <f>SUM(B4:P4)</f>
        <v>171142.26696979773</v>
      </c>
    </row>
    <row r="5" spans="1:17">
      <c r="A5" s="448" t="s">
        <v>155</v>
      </c>
      <c r="B5" s="449">
        <f ca="1">tertiair!B16</f>
        <v>14508.24042170473</v>
      </c>
      <c r="C5" s="449">
        <f ca="1">tertiair!C16</f>
        <v>0</v>
      </c>
      <c r="D5" s="449">
        <f ca="1">tertiair!D16</f>
        <v>16605.823961221926</v>
      </c>
      <c r="E5" s="449">
        <f>tertiair!E16</f>
        <v>269.58833486871612</v>
      </c>
      <c r="F5" s="449">
        <f ca="1">tertiair!F16</f>
        <v>2772.6572222992681</v>
      </c>
      <c r="G5" s="449">
        <f>tertiair!G16</f>
        <v>0</v>
      </c>
      <c r="H5" s="449">
        <f>tertiair!H16</f>
        <v>0</v>
      </c>
      <c r="I5" s="449">
        <f>tertiair!I16</f>
        <v>0</v>
      </c>
      <c r="J5" s="449">
        <f>tertiair!J16</f>
        <v>0</v>
      </c>
      <c r="K5" s="449">
        <f>tertiair!K16</f>
        <v>0</v>
      </c>
      <c r="L5" s="449">
        <f ca="1">tertiair!L16</f>
        <v>0</v>
      </c>
      <c r="M5" s="449">
        <f>tertiair!M16</f>
        <v>0</v>
      </c>
      <c r="N5" s="449">
        <f ca="1">tertiair!N16</f>
        <v>300.72079538467801</v>
      </c>
      <c r="O5" s="449">
        <f>tertiair!O16</f>
        <v>0</v>
      </c>
      <c r="P5" s="450">
        <f>tertiair!P16</f>
        <v>38.133333333333333</v>
      </c>
      <c r="Q5" s="448">
        <f t="shared" ref="Q5:Q14" ca="1" si="0">SUM(B5:P5)</f>
        <v>34495.16406881265</v>
      </c>
    </row>
    <row r="6" spans="1:17">
      <c r="A6" s="448" t="s">
        <v>193</v>
      </c>
      <c r="B6" s="449">
        <f>'openbare verlichting'!B8</f>
        <v>1208.078</v>
      </c>
      <c r="C6" s="449"/>
      <c r="D6" s="449"/>
      <c r="E6" s="449"/>
      <c r="F6" s="449"/>
      <c r="G6" s="449"/>
      <c r="H6" s="449"/>
      <c r="I6" s="449"/>
      <c r="J6" s="449"/>
      <c r="K6" s="449"/>
      <c r="L6" s="449"/>
      <c r="M6" s="449"/>
      <c r="N6" s="449"/>
      <c r="O6" s="449"/>
      <c r="P6" s="450"/>
      <c r="Q6" s="448">
        <f t="shared" si="0"/>
        <v>1208.078</v>
      </c>
    </row>
    <row r="7" spans="1:17">
      <c r="A7" s="448" t="s">
        <v>111</v>
      </c>
      <c r="B7" s="449">
        <f>landbouw!B8</f>
        <v>903.77055615553604</v>
      </c>
      <c r="C7" s="449">
        <f>landbouw!C8</f>
        <v>0</v>
      </c>
      <c r="D7" s="449">
        <f>landbouw!D8</f>
        <v>188.76947926421889</v>
      </c>
      <c r="E7" s="449">
        <f>landbouw!E8</f>
        <v>9.4644809224072795</v>
      </c>
      <c r="F7" s="449">
        <f>landbouw!F8</f>
        <v>3868.824700123304</v>
      </c>
      <c r="G7" s="449">
        <f>landbouw!G8</f>
        <v>0</v>
      </c>
      <c r="H7" s="449">
        <f>landbouw!H8</f>
        <v>0</v>
      </c>
      <c r="I7" s="449">
        <f>landbouw!I8</f>
        <v>0</v>
      </c>
      <c r="J7" s="449">
        <f>landbouw!J8</f>
        <v>80.714811298378251</v>
      </c>
      <c r="K7" s="449">
        <f>landbouw!K8</f>
        <v>0</v>
      </c>
      <c r="L7" s="449">
        <f>landbouw!L8</f>
        <v>0</v>
      </c>
      <c r="M7" s="449">
        <f>landbouw!M8</f>
        <v>0</v>
      </c>
      <c r="N7" s="449">
        <f>landbouw!N8</f>
        <v>0</v>
      </c>
      <c r="O7" s="449">
        <f>landbouw!O8</f>
        <v>0</v>
      </c>
      <c r="P7" s="450">
        <f>landbouw!P8</f>
        <v>0</v>
      </c>
      <c r="Q7" s="448">
        <f t="shared" si="0"/>
        <v>5051.5440277638454</v>
      </c>
    </row>
    <row r="8" spans="1:17">
      <c r="A8" s="448" t="s">
        <v>643</v>
      </c>
      <c r="B8" s="449">
        <f>industrie!B18</f>
        <v>2964.8304533102519</v>
      </c>
      <c r="C8" s="449">
        <f>industrie!C18</f>
        <v>0</v>
      </c>
      <c r="D8" s="449">
        <f>industrie!D18</f>
        <v>1215.4199716752678</v>
      </c>
      <c r="E8" s="449">
        <f>industrie!E18</f>
        <v>33.768720619574992</v>
      </c>
      <c r="F8" s="449">
        <f>industrie!F18</f>
        <v>1076.8956882703712</v>
      </c>
      <c r="G8" s="449">
        <f>industrie!G18</f>
        <v>0</v>
      </c>
      <c r="H8" s="449">
        <f>industrie!H18</f>
        <v>0</v>
      </c>
      <c r="I8" s="449">
        <f>industrie!I18</f>
        <v>0</v>
      </c>
      <c r="J8" s="449">
        <f>industrie!J18</f>
        <v>13.956106244372036</v>
      </c>
      <c r="K8" s="449">
        <f>industrie!K18</f>
        <v>0</v>
      </c>
      <c r="L8" s="449">
        <f>industrie!L18</f>
        <v>0</v>
      </c>
      <c r="M8" s="449">
        <f>industrie!M18</f>
        <v>0</v>
      </c>
      <c r="N8" s="449">
        <f>industrie!N18</f>
        <v>99.797600364515844</v>
      </c>
      <c r="O8" s="449">
        <f>industrie!O18</f>
        <v>0</v>
      </c>
      <c r="P8" s="450">
        <f>industrie!P18</f>
        <v>0</v>
      </c>
      <c r="Q8" s="448">
        <f t="shared" si="0"/>
        <v>5404.6685404843538</v>
      </c>
    </row>
    <row r="9" spans="1:17" s="454" customFormat="1">
      <c r="A9" s="452" t="s">
        <v>562</v>
      </c>
      <c r="B9" s="453">
        <f>transport!B14</f>
        <v>1.4188239883912777</v>
      </c>
      <c r="C9" s="453">
        <f>transport!C14</f>
        <v>0</v>
      </c>
      <c r="D9" s="453">
        <f>transport!D14</f>
        <v>4.82738753116179</v>
      </c>
      <c r="E9" s="453">
        <f>transport!E14</f>
        <v>549.99181936359639</v>
      </c>
      <c r="F9" s="453">
        <f>transport!F14</f>
        <v>0</v>
      </c>
      <c r="G9" s="453">
        <f>transport!G14</f>
        <v>101611.73217742184</v>
      </c>
      <c r="H9" s="453">
        <f>transport!H14</f>
        <v>16310.582986514999</v>
      </c>
      <c r="I9" s="453">
        <f>transport!I14</f>
        <v>0</v>
      </c>
      <c r="J9" s="453">
        <f>transport!J14</f>
        <v>0</v>
      </c>
      <c r="K9" s="453">
        <f>transport!K14</f>
        <v>0</v>
      </c>
      <c r="L9" s="453">
        <f>transport!L14</f>
        <v>0</v>
      </c>
      <c r="M9" s="453">
        <f>transport!M14</f>
        <v>5128.0453429769541</v>
      </c>
      <c r="N9" s="453">
        <f>transport!N14</f>
        <v>0</v>
      </c>
      <c r="O9" s="453">
        <f>transport!O14</f>
        <v>0</v>
      </c>
      <c r="P9" s="453">
        <f>transport!P14</f>
        <v>0</v>
      </c>
      <c r="Q9" s="452">
        <f>SUM(B9:P9)</f>
        <v>123606.59853779695</v>
      </c>
    </row>
    <row r="10" spans="1:17">
      <c r="A10" s="448" t="s">
        <v>552</v>
      </c>
      <c r="B10" s="449">
        <f>transport!B54</f>
        <v>4.0692263594990878</v>
      </c>
      <c r="C10" s="449">
        <f>transport!C54</f>
        <v>0</v>
      </c>
      <c r="D10" s="449">
        <f>transport!D54</f>
        <v>0</v>
      </c>
      <c r="E10" s="449">
        <f>transport!E54</f>
        <v>0</v>
      </c>
      <c r="F10" s="449">
        <f>transport!F54</f>
        <v>0</v>
      </c>
      <c r="G10" s="449">
        <f>transport!G54</f>
        <v>882.77780423706622</v>
      </c>
      <c r="H10" s="449">
        <f>transport!H54</f>
        <v>0</v>
      </c>
      <c r="I10" s="449">
        <f>transport!I54</f>
        <v>0</v>
      </c>
      <c r="J10" s="449">
        <f>transport!J54</f>
        <v>0</v>
      </c>
      <c r="K10" s="449">
        <f>transport!K54</f>
        <v>0</v>
      </c>
      <c r="L10" s="449">
        <f>transport!L54</f>
        <v>0</v>
      </c>
      <c r="M10" s="449">
        <f>transport!M54</f>
        <v>37.797154608048942</v>
      </c>
      <c r="N10" s="449">
        <f>transport!N54</f>
        <v>0</v>
      </c>
      <c r="O10" s="449">
        <f>transport!O54</f>
        <v>0</v>
      </c>
      <c r="P10" s="450">
        <f>transport!P54</f>
        <v>0</v>
      </c>
      <c r="Q10" s="448">
        <f t="shared" si="0"/>
        <v>924.64418520461425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1300.0929677064601</v>
      </c>
      <c r="C14" s="456"/>
      <c r="D14" s="456">
        <f>'SEAP template'!E25</f>
        <v>2877.81092115197</v>
      </c>
      <c r="E14" s="456"/>
      <c r="F14" s="456"/>
      <c r="G14" s="456"/>
      <c r="H14" s="456"/>
      <c r="I14" s="456"/>
      <c r="J14" s="456"/>
      <c r="K14" s="456"/>
      <c r="L14" s="456"/>
      <c r="M14" s="456"/>
      <c r="N14" s="456"/>
      <c r="O14" s="456"/>
      <c r="P14" s="457"/>
      <c r="Q14" s="448">
        <f t="shared" si="0"/>
        <v>4177.90388885843</v>
      </c>
    </row>
    <row r="15" spans="1:17" s="461" customFormat="1">
      <c r="A15" s="458" t="s">
        <v>556</v>
      </c>
      <c r="B15" s="459">
        <f ca="1">SUM(B4:B14)</f>
        <v>58282.476047217599</v>
      </c>
      <c r="C15" s="459">
        <f t="shared" ref="C15:Q15" ca="1" si="1">SUM(C4:C14)</f>
        <v>0</v>
      </c>
      <c r="D15" s="459">
        <f t="shared" ca="1" si="1"/>
        <v>84711.996259422594</v>
      </c>
      <c r="E15" s="459">
        <f t="shared" si="1"/>
        <v>2539.3169637675223</v>
      </c>
      <c r="F15" s="459">
        <f t="shared" ca="1" si="1"/>
        <v>64944.815060307745</v>
      </c>
      <c r="G15" s="459">
        <f t="shared" si="1"/>
        <v>102494.50998165891</v>
      </c>
      <c r="H15" s="459">
        <f t="shared" si="1"/>
        <v>16310.582986514999</v>
      </c>
      <c r="I15" s="459">
        <f t="shared" si="1"/>
        <v>0</v>
      </c>
      <c r="J15" s="459">
        <f t="shared" si="1"/>
        <v>1383.2652034546816</v>
      </c>
      <c r="K15" s="459">
        <f t="shared" si="1"/>
        <v>0</v>
      </c>
      <c r="L15" s="459">
        <f t="shared" ca="1" si="1"/>
        <v>0</v>
      </c>
      <c r="M15" s="459">
        <f t="shared" si="1"/>
        <v>5165.842497585003</v>
      </c>
      <c r="N15" s="459">
        <f t="shared" ca="1" si="1"/>
        <v>9567.5932187894905</v>
      </c>
      <c r="O15" s="459">
        <f t="shared" si="1"/>
        <v>76.603333333333339</v>
      </c>
      <c r="P15" s="459">
        <f t="shared" si="1"/>
        <v>533.86666666666667</v>
      </c>
      <c r="Q15" s="459">
        <f t="shared" ca="1" si="1"/>
        <v>346010.86821871862</v>
      </c>
    </row>
    <row r="17" spans="1:17">
      <c r="A17" s="462" t="s">
        <v>557</v>
      </c>
      <c r="B17" s="766">
        <f ca="1">huishoudens!B10</f>
        <v>0.21446320533346416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8019.2029404961977</v>
      </c>
      <c r="C22" s="449">
        <f t="shared" ref="C22:C32" ca="1" si="3">C4*$C$17</f>
        <v>0</v>
      </c>
      <c r="D22" s="449">
        <f t="shared" ref="D22:D32" si="4">D4*$D$17</f>
        <v>12891.507596792768</v>
      </c>
      <c r="E22" s="449">
        <f t="shared" ref="E22:E32" si="5">E4*$E$17</f>
        <v>380.56631901446269</v>
      </c>
      <c r="F22" s="449">
        <f t="shared" ref="F22:F32" si="6">F4*$F$17</f>
        <v>15279.458799047154</v>
      </c>
      <c r="G22" s="449">
        <f t="shared" ref="G22:G32" si="7">G4*$G$17</f>
        <v>0</v>
      </c>
      <c r="H22" s="449">
        <f t="shared" ref="H22:H32" si="8">H4*$H$17</f>
        <v>0</v>
      </c>
      <c r="I22" s="449">
        <f t="shared" ref="I22:I32" si="9">I4*$I$17</f>
        <v>0</v>
      </c>
      <c r="J22" s="449">
        <f t="shared" ref="J22:J32" si="10">J4*$J$17</f>
        <v>456.16237721282369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37026.898032563404</v>
      </c>
    </row>
    <row r="23" spans="1:17">
      <c r="A23" s="448" t="s">
        <v>155</v>
      </c>
      <c r="B23" s="449">
        <f t="shared" ca="1" si="2"/>
        <v>3111.4837445873263</v>
      </c>
      <c r="C23" s="449">
        <f t="shared" ca="1" si="3"/>
        <v>0</v>
      </c>
      <c r="D23" s="449">
        <f t="shared" ca="1" si="4"/>
        <v>3354.3764401668291</v>
      </c>
      <c r="E23" s="449">
        <f t="shared" si="5"/>
        <v>61.196552015198563</v>
      </c>
      <c r="F23" s="449">
        <f t="shared" ca="1" si="6"/>
        <v>740.29947835390465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7267.3562151232591</v>
      </c>
    </row>
    <row r="24" spans="1:17">
      <c r="A24" s="448" t="s">
        <v>193</v>
      </c>
      <c r="B24" s="449">
        <f t="shared" ca="1" si="2"/>
        <v>259.08828017284071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259.08828017284071</v>
      </c>
    </row>
    <row r="25" spans="1:17">
      <c r="A25" s="448" t="s">
        <v>111</v>
      </c>
      <c r="B25" s="449">
        <f t="shared" ca="1" si="2"/>
        <v>193.82553035912383</v>
      </c>
      <c r="C25" s="449">
        <f t="shared" ca="1" si="3"/>
        <v>0</v>
      </c>
      <c r="D25" s="449">
        <f t="shared" si="4"/>
        <v>38.131434811372216</v>
      </c>
      <c r="E25" s="449">
        <f t="shared" si="5"/>
        <v>2.1484371693864524</v>
      </c>
      <c r="F25" s="449">
        <f t="shared" si="6"/>
        <v>1032.9761949329222</v>
      </c>
      <c r="G25" s="449">
        <f t="shared" si="7"/>
        <v>0</v>
      </c>
      <c r="H25" s="449">
        <f t="shared" si="8"/>
        <v>0</v>
      </c>
      <c r="I25" s="449">
        <f t="shared" si="9"/>
        <v>0</v>
      </c>
      <c r="J25" s="449">
        <f t="shared" si="10"/>
        <v>28.5730431996259</v>
      </c>
      <c r="K25" s="449">
        <f t="shared" si="11"/>
        <v>0</v>
      </c>
      <c r="L25" s="449">
        <f t="shared" si="12"/>
        <v>0</v>
      </c>
      <c r="M25" s="449">
        <f t="shared" si="13"/>
        <v>0</v>
      </c>
      <c r="N25" s="449">
        <f t="shared" si="14"/>
        <v>0</v>
      </c>
      <c r="O25" s="449">
        <f t="shared" si="15"/>
        <v>0</v>
      </c>
      <c r="P25" s="450">
        <f t="shared" si="16"/>
        <v>0</v>
      </c>
      <c r="Q25" s="448">
        <f t="shared" ca="1" si="17"/>
        <v>1295.6546404724306</v>
      </c>
    </row>
    <row r="26" spans="1:17">
      <c r="A26" s="448" t="s">
        <v>643</v>
      </c>
      <c r="B26" s="449">
        <f t="shared" ca="1" si="2"/>
        <v>635.84704228718419</v>
      </c>
      <c r="C26" s="449">
        <f t="shared" ca="1" si="3"/>
        <v>0</v>
      </c>
      <c r="D26" s="449">
        <f t="shared" si="4"/>
        <v>245.51483427840409</v>
      </c>
      <c r="E26" s="449">
        <f t="shared" si="5"/>
        <v>7.6654995806435231</v>
      </c>
      <c r="F26" s="449">
        <f t="shared" si="6"/>
        <v>287.53114876818915</v>
      </c>
      <c r="G26" s="449">
        <f t="shared" si="7"/>
        <v>0</v>
      </c>
      <c r="H26" s="449">
        <f t="shared" si="8"/>
        <v>0</v>
      </c>
      <c r="I26" s="449">
        <f t="shared" si="9"/>
        <v>0</v>
      </c>
      <c r="J26" s="449">
        <f t="shared" si="10"/>
        <v>4.9404616105077004</v>
      </c>
      <c r="K26" s="449">
        <f t="shared" si="11"/>
        <v>0</v>
      </c>
      <c r="L26" s="449">
        <f t="shared" si="12"/>
        <v>0</v>
      </c>
      <c r="M26" s="449">
        <f t="shared" si="13"/>
        <v>0</v>
      </c>
      <c r="N26" s="449">
        <f t="shared" si="14"/>
        <v>0</v>
      </c>
      <c r="O26" s="449">
        <f t="shared" si="15"/>
        <v>0</v>
      </c>
      <c r="P26" s="450">
        <f t="shared" si="16"/>
        <v>0</v>
      </c>
      <c r="Q26" s="448">
        <f t="shared" ca="1" si="17"/>
        <v>1181.4989865249288</v>
      </c>
    </row>
    <row r="27" spans="1:17" s="454" customFormat="1">
      <c r="A27" s="452" t="s">
        <v>562</v>
      </c>
      <c r="B27" s="760">
        <f t="shared" ca="1" si="2"/>
        <v>0.30428554035440314</v>
      </c>
      <c r="C27" s="453">
        <f t="shared" ca="1" si="3"/>
        <v>0</v>
      </c>
      <c r="D27" s="453">
        <f t="shared" si="4"/>
        <v>0.97513228129468166</v>
      </c>
      <c r="E27" s="453">
        <f t="shared" si="5"/>
        <v>124.84814299553638</v>
      </c>
      <c r="F27" s="453">
        <f t="shared" si="6"/>
        <v>0</v>
      </c>
      <c r="G27" s="453">
        <f t="shared" si="7"/>
        <v>27130.332491371635</v>
      </c>
      <c r="H27" s="453">
        <f t="shared" si="8"/>
        <v>4061.3351636422349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31317.795215831055</v>
      </c>
    </row>
    <row r="28" spans="1:17">
      <c r="A28" s="448" t="s">
        <v>552</v>
      </c>
      <c r="B28" s="449">
        <f t="shared" ca="1" si="2"/>
        <v>0.87269932828559771</v>
      </c>
      <c r="C28" s="449">
        <f t="shared" ca="1" si="3"/>
        <v>0</v>
      </c>
      <c r="D28" s="449">
        <f t="shared" si="4"/>
        <v>0</v>
      </c>
      <c r="E28" s="449">
        <f t="shared" si="5"/>
        <v>0</v>
      </c>
      <c r="F28" s="449">
        <f t="shared" si="6"/>
        <v>0</v>
      </c>
      <c r="G28" s="449">
        <f t="shared" si="7"/>
        <v>235.70167373129669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236.57437305958229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278.82210508582335</v>
      </c>
      <c r="C32" s="449">
        <f t="shared" ca="1" si="3"/>
        <v>0</v>
      </c>
      <c r="D32" s="449">
        <f t="shared" si="4"/>
        <v>581.31780607269798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860.13991115852127</v>
      </c>
    </row>
    <row r="33" spans="1:17" s="461" customFormat="1">
      <c r="A33" s="458" t="s">
        <v>556</v>
      </c>
      <c r="B33" s="459">
        <f ca="1">SUM(B22:B32)</f>
        <v>12499.446627857136</v>
      </c>
      <c r="C33" s="459">
        <f t="shared" ref="C33:Q33" ca="1" si="19">SUM(C22:C32)</f>
        <v>0</v>
      </c>
      <c r="D33" s="459">
        <f t="shared" ca="1" si="19"/>
        <v>17111.823244403364</v>
      </c>
      <c r="E33" s="459">
        <f t="shared" si="19"/>
        <v>576.42495077522767</v>
      </c>
      <c r="F33" s="459">
        <f t="shared" ca="1" si="19"/>
        <v>17340.265621102171</v>
      </c>
      <c r="G33" s="459">
        <f t="shared" si="19"/>
        <v>27366.03416510293</v>
      </c>
      <c r="H33" s="459">
        <f t="shared" si="19"/>
        <v>4061.3351636422349</v>
      </c>
      <c r="I33" s="459">
        <f t="shared" si="19"/>
        <v>0</v>
      </c>
      <c r="J33" s="459">
        <f t="shared" si="19"/>
        <v>489.6758820229573</v>
      </c>
      <c r="K33" s="459">
        <f t="shared" si="19"/>
        <v>0</v>
      </c>
      <c r="L33" s="459">
        <f t="shared" ca="1" si="19"/>
        <v>0</v>
      </c>
      <c r="M33" s="459">
        <f t="shared" si="19"/>
        <v>0</v>
      </c>
      <c r="N33" s="459">
        <f t="shared" ca="1" si="19"/>
        <v>0</v>
      </c>
      <c r="O33" s="459">
        <f t="shared" si="19"/>
        <v>0</v>
      </c>
      <c r="P33" s="459">
        <f t="shared" si="19"/>
        <v>0</v>
      </c>
      <c r="Q33" s="459">
        <f t="shared" ca="1" si="19"/>
        <v>79445.005654906025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13</v>
      </c>
      <c r="C5" s="1008"/>
      <c r="D5" s="1008"/>
      <c r="E5" s="1008"/>
      <c r="F5" s="1008"/>
      <c r="G5" s="1008"/>
      <c r="H5" s="1008"/>
      <c r="I5" s="1008"/>
      <c r="J5" s="1008"/>
      <c r="K5" s="1008"/>
      <c r="L5" s="1008"/>
      <c r="M5" s="1008"/>
      <c r="N5" s="1008"/>
      <c r="O5" s="1008"/>
      <c r="P5" s="1009">
        <f>'SEAP template'!Q73</f>
        <v>0</v>
      </c>
    </row>
    <row r="6" spans="1:16">
      <c r="A6" s="1010" t="s">
        <v>246</v>
      </c>
      <c r="B6" s="1008">
        <f>'SEAP template'!B74</f>
        <v>1710.8940207147241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1723.8940207147241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0.21446320533346416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0.21446320533346416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0.21446320533346416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0.21446320533346416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1320</v>
      </c>
      <c r="C14" s="326"/>
      <c r="D14" s="326"/>
      <c r="E14" s="326"/>
      <c r="F14" s="326"/>
    </row>
    <row r="15" spans="1:6">
      <c r="A15" s="1282" t="s">
        <v>183</v>
      </c>
      <c r="B15" s="1283">
        <v>11</v>
      </c>
      <c r="C15" s="326"/>
      <c r="D15" s="326"/>
      <c r="E15" s="326"/>
      <c r="F15" s="326"/>
    </row>
    <row r="16" spans="1:6">
      <c r="A16" s="1282" t="s">
        <v>6</v>
      </c>
      <c r="B16" s="1283">
        <v>352</v>
      </c>
      <c r="C16" s="326"/>
      <c r="D16" s="326"/>
      <c r="E16" s="326"/>
      <c r="F16" s="326"/>
    </row>
    <row r="17" spans="1:6">
      <c r="A17" s="1282" t="s">
        <v>7</v>
      </c>
      <c r="B17" s="1283">
        <v>465</v>
      </c>
      <c r="C17" s="326"/>
      <c r="D17" s="326"/>
      <c r="E17" s="326"/>
      <c r="F17" s="326"/>
    </row>
    <row r="18" spans="1:6">
      <c r="A18" s="1282" t="s">
        <v>8</v>
      </c>
      <c r="B18" s="1283">
        <v>657</v>
      </c>
      <c r="C18" s="326"/>
      <c r="D18" s="326"/>
      <c r="E18" s="326"/>
      <c r="F18" s="326"/>
    </row>
    <row r="19" spans="1:6">
      <c r="A19" s="1282" t="s">
        <v>9</v>
      </c>
      <c r="B19" s="1283">
        <v>548</v>
      </c>
      <c r="C19" s="326"/>
      <c r="D19" s="326"/>
      <c r="E19" s="326"/>
      <c r="F19" s="326"/>
    </row>
    <row r="20" spans="1:6">
      <c r="A20" s="1282" t="s">
        <v>10</v>
      </c>
      <c r="B20" s="1283">
        <v>372</v>
      </c>
      <c r="C20" s="326"/>
      <c r="D20" s="326"/>
      <c r="E20" s="326"/>
      <c r="F20" s="326"/>
    </row>
    <row r="21" spans="1:6">
      <c r="A21" s="1282" t="s">
        <v>11</v>
      </c>
      <c r="B21" s="1283">
        <v>0</v>
      </c>
      <c r="C21" s="326"/>
      <c r="D21" s="326"/>
      <c r="E21" s="326"/>
      <c r="F21" s="326"/>
    </row>
    <row r="22" spans="1:6">
      <c r="A22" s="1282" t="s">
        <v>12</v>
      </c>
      <c r="B22" s="1283">
        <v>464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160</v>
      </c>
      <c r="C26" s="326"/>
      <c r="D26" s="326"/>
      <c r="E26" s="326"/>
      <c r="F26" s="326"/>
    </row>
    <row r="27" spans="1:6">
      <c r="A27" s="1282" t="s">
        <v>17</v>
      </c>
      <c r="B27" s="1283">
        <v>3</v>
      </c>
      <c r="C27" s="326"/>
      <c r="D27" s="326"/>
      <c r="E27" s="326"/>
      <c r="F27" s="326"/>
    </row>
    <row r="28" spans="1:6" s="43" customFormat="1">
      <c r="A28" s="1284" t="s">
        <v>18</v>
      </c>
      <c r="B28" s="1285">
        <v>20</v>
      </c>
      <c r="C28" s="332"/>
      <c r="D28" s="332"/>
      <c r="E28" s="332"/>
      <c r="F28" s="332"/>
    </row>
    <row r="29" spans="1:6">
      <c r="A29" s="1284" t="s">
        <v>978</v>
      </c>
      <c r="B29" s="1285">
        <v>71</v>
      </c>
      <c r="C29" s="332"/>
      <c r="D29" s="332"/>
      <c r="E29" s="332"/>
      <c r="F29" s="332"/>
    </row>
    <row r="30" spans="1:6">
      <c r="A30" s="1277" t="s">
        <v>979</v>
      </c>
      <c r="B30" s="1286">
        <v>16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3622</v>
      </c>
    </row>
    <row r="39" spans="1:6">
      <c r="A39" s="1282" t="s">
        <v>29</v>
      </c>
      <c r="B39" s="1282" t="s">
        <v>30</v>
      </c>
      <c r="C39" s="1283">
        <v>4206</v>
      </c>
      <c r="D39" s="1283">
        <v>70753153.590441301</v>
      </c>
      <c r="E39" s="1283">
        <v>7363</v>
      </c>
      <c r="F39" s="1283">
        <v>35844689.407368302</v>
      </c>
    </row>
    <row r="40" spans="1:6">
      <c r="A40" s="1282" t="s">
        <v>29</v>
      </c>
      <c r="B40" s="1282" t="s">
        <v>28</v>
      </c>
      <c r="C40" s="1283">
        <v>0</v>
      </c>
      <c r="D40" s="1283">
        <v>0</v>
      </c>
      <c r="E40" s="1283">
        <v>0</v>
      </c>
      <c r="F40" s="1283">
        <v>0</v>
      </c>
    </row>
    <row r="41" spans="1:6">
      <c r="A41" s="1282" t="s">
        <v>31</v>
      </c>
      <c r="B41" s="1282" t="s">
        <v>32</v>
      </c>
      <c r="C41" s="1283">
        <v>30</v>
      </c>
      <c r="D41" s="1283">
        <v>640414.36536279297</v>
      </c>
      <c r="E41" s="1283">
        <v>109</v>
      </c>
      <c r="F41" s="1283">
        <v>854909.26127128105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21859.981463811</v>
      </c>
    </row>
    <row r="45" spans="1:6">
      <c r="A45" s="1282" t="s">
        <v>31</v>
      </c>
      <c r="B45" s="1282" t="s">
        <v>36</v>
      </c>
      <c r="C45" s="1283">
        <v>0</v>
      </c>
      <c r="D45" s="1283">
        <v>0</v>
      </c>
      <c r="E45" s="1283">
        <v>4</v>
      </c>
      <c r="F45" s="1283">
        <v>24635.7619008781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14</v>
      </c>
      <c r="D48" s="1283">
        <v>357352.41389713599</v>
      </c>
      <c r="E48" s="1283">
        <v>35</v>
      </c>
      <c r="F48" s="1283">
        <v>1831760.52992445</v>
      </c>
    </row>
    <row r="49" spans="1:6">
      <c r="A49" s="1282" t="s">
        <v>31</v>
      </c>
      <c r="B49" s="1282" t="s">
        <v>39</v>
      </c>
      <c r="C49" s="1283">
        <v>0</v>
      </c>
      <c r="D49" s="1283">
        <v>0</v>
      </c>
      <c r="E49" s="1283">
        <v>0</v>
      </c>
      <c r="F49" s="1283">
        <v>0</v>
      </c>
    </row>
    <row r="50" spans="1:6">
      <c r="A50" s="1282" t="s">
        <v>31</v>
      </c>
      <c r="B50" s="1282" t="s">
        <v>40</v>
      </c>
      <c r="C50" s="1283">
        <v>5</v>
      </c>
      <c r="D50" s="1283">
        <v>349705.47315167601</v>
      </c>
      <c r="E50" s="1283">
        <v>8</v>
      </c>
      <c r="F50" s="1283">
        <v>231664.918749832</v>
      </c>
    </row>
    <row r="51" spans="1:6">
      <c r="A51" s="1282" t="s">
        <v>41</v>
      </c>
      <c r="B51" s="1282" t="s">
        <v>42</v>
      </c>
      <c r="C51" s="1283">
        <v>8</v>
      </c>
      <c r="D51" s="1283">
        <v>209278.80184503199</v>
      </c>
      <c r="E51" s="1283">
        <v>70</v>
      </c>
      <c r="F51" s="1283">
        <v>697341.26085203304</v>
      </c>
    </row>
    <row r="52" spans="1:6">
      <c r="A52" s="1282" t="s">
        <v>41</v>
      </c>
      <c r="B52" s="1282" t="s">
        <v>28</v>
      </c>
      <c r="C52" s="1283">
        <v>0</v>
      </c>
      <c r="D52" s="1283">
        <v>0</v>
      </c>
      <c r="E52" s="1283">
        <v>6</v>
      </c>
      <c r="F52" s="1283">
        <v>206429.29530350299</v>
      </c>
    </row>
    <row r="53" spans="1:6">
      <c r="A53" s="1282" t="s">
        <v>43</v>
      </c>
      <c r="B53" s="1282" t="s">
        <v>44</v>
      </c>
      <c r="C53" s="1283">
        <v>159</v>
      </c>
      <c r="D53" s="1283">
        <v>2877810.92115197</v>
      </c>
      <c r="E53" s="1283">
        <v>261</v>
      </c>
      <c r="F53" s="1283">
        <v>1300092.96770646</v>
      </c>
    </row>
    <row r="54" spans="1:6">
      <c r="A54" s="1282" t="s">
        <v>45</v>
      </c>
      <c r="B54" s="1282" t="s">
        <v>46</v>
      </c>
      <c r="C54" s="1283">
        <v>0</v>
      </c>
      <c r="D54" s="1283">
        <v>0</v>
      </c>
      <c r="E54" s="1283">
        <v>5</v>
      </c>
      <c r="F54" s="1283">
        <v>1208078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24</v>
      </c>
      <c r="D57" s="1283">
        <v>740764.40225518798</v>
      </c>
      <c r="E57" s="1283">
        <v>69</v>
      </c>
      <c r="F57" s="1283">
        <v>844393.34361876606</v>
      </c>
    </row>
    <row r="58" spans="1:6">
      <c r="A58" s="1282" t="s">
        <v>48</v>
      </c>
      <c r="B58" s="1282" t="s">
        <v>50</v>
      </c>
      <c r="C58" s="1283">
        <v>25</v>
      </c>
      <c r="D58" s="1283">
        <v>973315.24273402104</v>
      </c>
      <c r="E58" s="1283">
        <v>37</v>
      </c>
      <c r="F58" s="1283">
        <v>1588773.15713684</v>
      </c>
    </row>
    <row r="59" spans="1:6">
      <c r="A59" s="1282" t="s">
        <v>48</v>
      </c>
      <c r="B59" s="1282" t="s">
        <v>51</v>
      </c>
      <c r="C59" s="1283">
        <v>67</v>
      </c>
      <c r="D59" s="1283">
        <v>2215066.5120039699</v>
      </c>
      <c r="E59" s="1283">
        <v>178</v>
      </c>
      <c r="F59" s="1283">
        <v>5092744.0944771003</v>
      </c>
    </row>
    <row r="60" spans="1:6">
      <c r="A60" s="1282" t="s">
        <v>48</v>
      </c>
      <c r="B60" s="1282" t="s">
        <v>52</v>
      </c>
      <c r="C60" s="1283">
        <v>37</v>
      </c>
      <c r="D60" s="1283">
        <v>1048112.18609711</v>
      </c>
      <c r="E60" s="1283">
        <v>102</v>
      </c>
      <c r="F60" s="1283">
        <v>1689780.33695603</v>
      </c>
    </row>
    <row r="61" spans="1:6">
      <c r="A61" s="1282" t="s">
        <v>48</v>
      </c>
      <c r="B61" s="1282" t="s">
        <v>53</v>
      </c>
      <c r="C61" s="1283">
        <v>74</v>
      </c>
      <c r="D61" s="1283">
        <v>4206471.7591539295</v>
      </c>
      <c r="E61" s="1283">
        <v>185</v>
      </c>
      <c r="F61" s="1283">
        <v>2561130.61005138</v>
      </c>
    </row>
    <row r="62" spans="1:6">
      <c r="A62" s="1282" t="s">
        <v>48</v>
      </c>
      <c r="B62" s="1282" t="s">
        <v>54</v>
      </c>
      <c r="C62" s="1283">
        <v>12</v>
      </c>
      <c r="D62" s="1283">
        <v>1596091.8622123101</v>
      </c>
      <c r="E62" s="1283">
        <v>18</v>
      </c>
      <c r="F62" s="1283">
        <v>286192.23508599203</v>
      </c>
    </row>
    <row r="63" spans="1:6">
      <c r="A63" s="1282" t="s">
        <v>48</v>
      </c>
      <c r="B63" s="1282" t="s">
        <v>28</v>
      </c>
      <c r="C63" s="1283">
        <v>81</v>
      </c>
      <c r="D63" s="1283">
        <v>7630182.4271420604</v>
      </c>
      <c r="E63" s="1283">
        <v>85</v>
      </c>
      <c r="F63" s="1283">
        <v>2445226.6443786202</v>
      </c>
    </row>
    <row r="64" spans="1:6">
      <c r="A64" s="1282" t="s">
        <v>55</v>
      </c>
      <c r="B64" s="1282" t="s">
        <v>56</v>
      </c>
      <c r="C64" s="1283">
        <v>0</v>
      </c>
      <c r="D64" s="1283">
        <v>0</v>
      </c>
      <c r="E64" s="1283">
        <v>0</v>
      </c>
      <c r="F64" s="1283">
        <v>0</v>
      </c>
    </row>
    <row r="65" spans="1:6">
      <c r="A65" s="1282" t="s">
        <v>55</v>
      </c>
      <c r="B65" s="1282" t="s">
        <v>28</v>
      </c>
      <c r="C65" s="1283">
        <v>2</v>
      </c>
      <c r="D65" s="1283">
        <v>122514.85317595401</v>
      </c>
      <c r="E65" s="1283">
        <v>4</v>
      </c>
      <c r="F65" s="1283">
        <v>38590.601039495399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8</v>
      </c>
      <c r="F68" s="1286">
        <v>40537.867504409602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31515576</v>
      </c>
      <c r="E73" s="447"/>
      <c r="F73" s="326"/>
    </row>
    <row r="74" spans="1:6">
      <c r="A74" s="1282" t="s">
        <v>63</v>
      </c>
      <c r="B74" s="1282" t="s">
        <v>760</v>
      </c>
      <c r="C74" s="1296" t="s">
        <v>761</v>
      </c>
      <c r="D74" s="1297">
        <v>2979706.604202047</v>
      </c>
      <c r="E74" s="447"/>
      <c r="F74" s="326"/>
    </row>
    <row r="75" spans="1:6">
      <c r="A75" s="1282" t="s">
        <v>64</v>
      </c>
      <c r="B75" s="1282" t="s">
        <v>758</v>
      </c>
      <c r="C75" s="1296" t="s">
        <v>762</v>
      </c>
      <c r="D75" s="1297">
        <v>25474704</v>
      </c>
      <c r="E75" s="447"/>
      <c r="F75" s="326"/>
    </row>
    <row r="76" spans="1:6">
      <c r="A76" s="1282" t="s">
        <v>64</v>
      </c>
      <c r="B76" s="1282" t="s">
        <v>760</v>
      </c>
      <c r="C76" s="1296" t="s">
        <v>763</v>
      </c>
      <c r="D76" s="1297">
        <v>328117.60420204676</v>
      </c>
      <c r="E76" s="447"/>
      <c r="F76" s="326"/>
    </row>
    <row r="77" spans="1:6">
      <c r="A77" s="1282" t="s">
        <v>65</v>
      </c>
      <c r="B77" s="1282" t="s">
        <v>758</v>
      </c>
      <c r="C77" s="1296" t="s">
        <v>764</v>
      </c>
      <c r="D77" s="1297">
        <v>70635751</v>
      </c>
      <c r="E77" s="447"/>
      <c r="F77" s="326"/>
    </row>
    <row r="78" spans="1:6">
      <c r="A78" s="1277" t="s">
        <v>65</v>
      </c>
      <c r="B78" s="1277" t="s">
        <v>760</v>
      </c>
      <c r="C78" s="1277" t="s">
        <v>765</v>
      </c>
      <c r="D78" s="1298">
        <v>9088370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242120.79159590643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13</v>
      </c>
      <c r="C89" s="326"/>
      <c r="D89" s="326"/>
      <c r="E89" s="326"/>
      <c r="F89" s="326"/>
    </row>
    <row r="90" spans="1:6">
      <c r="A90" s="1282" t="s">
        <v>550</v>
      </c>
      <c r="B90" s="1283">
        <v>0</v>
      </c>
      <c r="C90" s="326"/>
      <c r="D90" s="326"/>
      <c r="E90" s="326"/>
      <c r="F90" s="326"/>
    </row>
    <row r="91" spans="1:6">
      <c r="A91" s="1282" t="s">
        <v>67</v>
      </c>
      <c r="B91" s="1283">
        <v>1547.2861906244368</v>
      </c>
      <c r="C91" s="326"/>
      <c r="D91" s="326"/>
      <c r="E91" s="326"/>
      <c r="F91" s="326"/>
    </row>
    <row r="92" spans="1:6">
      <c r="A92" s="1277" t="s">
        <v>68</v>
      </c>
      <c r="B92" s="1278">
        <v>163.60783009028722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2408</v>
      </c>
      <c r="C97" s="326"/>
      <c r="D97" s="326"/>
      <c r="E97" s="326"/>
      <c r="F97" s="326"/>
    </row>
    <row r="98" spans="1:6">
      <c r="A98" s="1282" t="s">
        <v>71</v>
      </c>
      <c r="B98" s="1283">
        <v>0</v>
      </c>
      <c r="C98" s="326"/>
      <c r="D98" s="326"/>
      <c r="E98" s="326"/>
      <c r="F98" s="326"/>
    </row>
    <row r="99" spans="1:6">
      <c r="A99" s="1282" t="s">
        <v>72</v>
      </c>
      <c r="B99" s="1283">
        <v>104</v>
      </c>
      <c r="C99" s="326"/>
      <c r="D99" s="326"/>
      <c r="E99" s="326"/>
      <c r="F99" s="326"/>
    </row>
    <row r="100" spans="1:6">
      <c r="A100" s="1282" t="s">
        <v>73</v>
      </c>
      <c r="B100" s="1283">
        <v>742</v>
      </c>
      <c r="C100" s="326"/>
      <c r="D100" s="326"/>
      <c r="E100" s="326"/>
      <c r="F100" s="326"/>
    </row>
    <row r="101" spans="1:6">
      <c r="A101" s="1282" t="s">
        <v>74</v>
      </c>
      <c r="B101" s="1283">
        <v>105</v>
      </c>
      <c r="C101" s="326"/>
      <c r="D101" s="326"/>
      <c r="E101" s="326"/>
      <c r="F101" s="326"/>
    </row>
    <row r="102" spans="1:6">
      <c r="A102" s="1282" t="s">
        <v>75</v>
      </c>
      <c r="B102" s="1283">
        <v>153</v>
      </c>
      <c r="C102" s="326"/>
      <c r="D102" s="326"/>
      <c r="E102" s="326"/>
      <c r="F102" s="326"/>
    </row>
    <row r="103" spans="1:6">
      <c r="A103" s="1282" t="s">
        <v>76</v>
      </c>
      <c r="B103" s="1283">
        <v>404</v>
      </c>
      <c r="C103" s="326"/>
      <c r="D103" s="326"/>
      <c r="E103" s="326"/>
      <c r="F103" s="326"/>
    </row>
    <row r="104" spans="1:6">
      <c r="A104" s="1282" t="s">
        <v>77</v>
      </c>
      <c r="B104" s="1283">
        <v>2770</v>
      </c>
      <c r="C104" s="326"/>
      <c r="D104" s="326"/>
      <c r="E104" s="326"/>
      <c r="F104" s="326"/>
    </row>
    <row r="105" spans="1:6">
      <c r="A105" s="1277" t="s">
        <v>78</v>
      </c>
      <c r="B105" s="128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15</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41</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58282.476047217606</v>
      </c>
      <c r="C3" s="43" t="s">
        <v>169</v>
      </c>
      <c r="D3" s="43"/>
      <c r="E3" s="156"/>
      <c r="F3" s="43"/>
      <c r="G3" s="43"/>
      <c r="H3" s="43"/>
      <c r="I3" s="43"/>
      <c r="J3" s="43"/>
      <c r="K3" s="96"/>
    </row>
    <row r="4" spans="1:11">
      <c r="A4" s="354" t="s">
        <v>170</v>
      </c>
      <c r="B4" s="49">
        <f>IF(ISERROR('SEAP template'!B78+'SEAP template'!C78),0,'SEAP template'!B78+'SEAP template'!C78)</f>
        <v>1723.8940207147241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0.21446320533346416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1208.078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0.21446320533346416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259.08828017284071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B32*B41</f>
        <v>1676.5036079932277</v>
      </c>
      <c r="F5" s="17">
        <f>B36*B45</f>
        <v>57226.437449614801</v>
      </c>
      <c r="G5" s="18"/>
      <c r="H5" s="17"/>
      <c r="I5" s="17"/>
      <c r="J5" s="17">
        <f>B35*B44+C35*C44</f>
        <v>1288.5942859119314</v>
      </c>
      <c r="K5" s="17"/>
      <c r="L5" s="17"/>
      <c r="M5" s="17"/>
      <c r="N5" s="17">
        <f>B34*B43+C34*C43</f>
        <v>9167.0748230402969</v>
      </c>
      <c r="O5" s="17">
        <f>B52*B53*B54</f>
        <v>76.603333333333339</v>
      </c>
      <c r="P5" s="17">
        <f>B60*B61*B62/1000-B60*B61*B62/1000/B63</f>
        <v>495.73333333333335</v>
      </c>
    </row>
    <row r="6" spans="1:16">
      <c r="A6" s="16" t="s">
        <v>621</v>
      </c>
      <c r="B6" s="768">
        <f>kWh_PV_kleiner_dan_10kW</f>
        <v>1547.2861906244368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37391.975597992736</v>
      </c>
      <c r="C8" s="21">
        <f>C5</f>
        <v>0</v>
      </c>
      <c r="D8" s="21">
        <f>D5</f>
        <v>63819.344538578058</v>
      </c>
      <c r="E8" s="21">
        <f>E5</f>
        <v>1676.5036079932277</v>
      </c>
      <c r="F8" s="21">
        <f>F5</f>
        <v>57226.437449614801</v>
      </c>
      <c r="G8" s="21"/>
      <c r="H8" s="21"/>
      <c r="I8" s="21"/>
      <c r="J8" s="21">
        <f>J5</f>
        <v>1288.5942859119314</v>
      </c>
      <c r="K8" s="21"/>
      <c r="L8" s="21">
        <f>L5</f>
        <v>0</v>
      </c>
      <c r="M8" s="21">
        <f>M5</f>
        <v>0</v>
      </c>
      <c r="N8" s="21">
        <f>N5</f>
        <v>9167.0748230402969</v>
      </c>
      <c r="O8" s="21">
        <f>O5</f>
        <v>76.603333333333339</v>
      </c>
      <c r="P8" s="21">
        <f>P5</f>
        <v>495.73333333333335</v>
      </c>
    </row>
    <row r="9" spans="1:16">
      <c r="B9" s="19"/>
      <c r="C9" s="19"/>
      <c r="D9" s="256"/>
      <c r="E9" s="19"/>
      <c r="F9" s="19"/>
      <c r="G9" s="19"/>
      <c r="H9" s="19"/>
      <c r="I9" s="19"/>
      <c r="J9" s="19"/>
      <c r="K9" s="19"/>
      <c r="L9" s="19"/>
      <c r="M9" s="19"/>
      <c r="N9" s="19"/>
      <c r="O9" s="19"/>
      <c r="P9" s="19"/>
    </row>
    <row r="10" spans="1:16">
      <c r="A10" s="24" t="s">
        <v>213</v>
      </c>
      <c r="B10" s="25">
        <f ca="1">'EF ele_warmte'!B12</f>
        <v>0.21446320533346416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8019.2029404961977</v>
      </c>
      <c r="C12" s="23">
        <f ca="1">C10*C8</f>
        <v>0</v>
      </c>
      <c r="D12" s="23">
        <f>D8*D10</f>
        <v>12891.507596792768</v>
      </c>
      <c r="E12" s="23">
        <f>E10*E8</f>
        <v>380.56631901446269</v>
      </c>
      <c r="F12" s="23">
        <f>F10*F8</f>
        <v>15279.458799047154</v>
      </c>
      <c r="G12" s="23"/>
      <c r="H12" s="23"/>
      <c r="I12" s="23"/>
      <c r="J12" s="23">
        <f>J10*J8</f>
        <v>456.16237721282369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7495</v>
      </c>
      <c r="C26" s="36"/>
      <c r="D26" s="226"/>
    </row>
    <row r="27" spans="1:5" s="15" customFormat="1">
      <c r="A27" s="228" t="s">
        <v>701</v>
      </c>
      <c r="B27" s="37">
        <f>SUM(HH_hh_gas_aantal,HH_rest_gas_aantal)</f>
        <v>4206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3995.7</v>
      </c>
      <c r="C31" s="34" t="s">
        <v>110</v>
      </c>
      <c r="D31" s="172"/>
    </row>
    <row r="32" spans="1:5">
      <c r="A32" s="169" t="s">
        <v>72</v>
      </c>
      <c r="B32" s="33">
        <f>IF((B21*($B$26-($B$27-0.05*$B$27)-$B$60))&lt;0,0,B21*($B$26-($B$27-0.05*$B$27)-$B$60))</f>
        <v>24.624198796622338</v>
      </c>
      <c r="C32" s="34" t="s">
        <v>110</v>
      </c>
      <c r="D32" s="172"/>
    </row>
    <row r="33" spans="1:6">
      <c r="A33" s="169" t="s">
        <v>73</v>
      </c>
      <c r="B33" s="33">
        <f>IF((B22*($B$26-($B$27-0.05*$B$27)-$B$60))&lt;0,0,B22*($B$26-($B$27-0.05*$B$27)-$B$60))</f>
        <v>705.72618728006762</v>
      </c>
      <c r="C33" s="34" t="s">
        <v>110</v>
      </c>
      <c r="D33" s="172"/>
    </row>
    <row r="34" spans="1:6">
      <c r="A34" s="169" t="s">
        <v>74</v>
      </c>
      <c r="B34" s="33">
        <f>IF((B24*($B$26-($B$27-0.05*$B$27)-$B$60))&lt;0,0,B24*($B$26-($B$27-0.05*$B$27)-$B$60))</f>
        <v>140.72926008319274</v>
      </c>
      <c r="C34" s="33">
        <f>B26*C24</f>
        <v>1532.5597224013443</v>
      </c>
      <c r="D34" s="231"/>
    </row>
    <row r="35" spans="1:6">
      <c r="A35" s="169" t="s">
        <v>76</v>
      </c>
      <c r="B35" s="33">
        <f>IF((B19*($B$26-($B$27-0.05*$B$27)-$B$60))&lt;0,0,B19*($B$26-($B$27-0.05*$B$27)-$B$60))</f>
        <v>73.286305942328397</v>
      </c>
      <c r="C35" s="33">
        <f>B35/2</f>
        <v>36.643152971164199</v>
      </c>
      <c r="D35" s="231"/>
    </row>
    <row r="36" spans="1:6">
      <c r="A36" s="169" t="s">
        <v>77</v>
      </c>
      <c r="B36" s="33">
        <f>IF((B18*($B$26-($B$27-0.05*$B$27)-$B$60))&lt;0,0,B18*($B$26-($B$27-0.05*$B$27)-$B$60))</f>
        <v>2528.9340478977892</v>
      </c>
      <c r="C36" s="34" t="s">
        <v>110</v>
      </c>
      <c r="D36" s="172"/>
    </row>
    <row r="37" spans="1:6">
      <c r="A37" s="169" t="s">
        <v>78</v>
      </c>
      <c r="B37" s="33">
        <f>B60</f>
        <v>26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53</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52</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51</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50</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49</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54</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255</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0.21446320533346416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3111.4837445873263</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2561.1306100513798</v>
      </c>
      <c r="C26" s="39">
        <f>IF(ISERROR(B26*3.6/1000000/'E Balans VL '!Z12*100),0,B26*3.6/1000000/'E Balans VL '!Z12*100)</f>
        <v>5.3894746373120209E-2</v>
      </c>
      <c r="D26" s="234" t="s">
        <v>706</v>
      </c>
      <c r="F26" s="6"/>
    </row>
    <row r="27" spans="1:18">
      <c r="A27" s="229" t="s">
        <v>52</v>
      </c>
      <c r="B27" s="33">
        <f>IF(ISERROR(TER_horeca_ele_kWh/1000),0,TER_horeca_ele_kWh/1000)</f>
        <v>1689.7803369560299</v>
      </c>
      <c r="C27" s="39">
        <f>IF(ISERROR(B27*3.6/1000000/'E Balans VL '!Z9*100),0,B27*3.6/1000000/'E Balans VL '!Z9*100)</f>
        <v>0.14306895289129187</v>
      </c>
      <c r="D27" s="234" t="s">
        <v>706</v>
      </c>
      <c r="F27" s="6"/>
    </row>
    <row r="28" spans="1:18">
      <c r="A28" s="169" t="s">
        <v>51</v>
      </c>
      <c r="B28" s="33">
        <f>IF(ISERROR(TER_handel_ele_kWh/1000),0,TER_handel_ele_kWh/1000)</f>
        <v>5092.7440944771006</v>
      </c>
      <c r="C28" s="39">
        <f>IF(ISERROR(B28*3.6/1000000/'E Balans VL '!Z13*100),0,B28*3.6/1000000/'E Balans VL '!Z13*100)</f>
        <v>0.1409919160358051</v>
      </c>
      <c r="D28" s="234" t="s">
        <v>706</v>
      </c>
      <c r="F28" s="6"/>
    </row>
    <row r="29" spans="1:18">
      <c r="A29" s="229" t="s">
        <v>50</v>
      </c>
      <c r="B29" s="33">
        <f>IF(ISERROR(TER_gezond_ele_kWh/1000),0,TER_gezond_ele_kWh/1000)</f>
        <v>1588.7731571368402</v>
      </c>
      <c r="C29" s="39">
        <f>IF(ISERROR(B29*3.6/1000000/'E Balans VL '!Z10*100),0,B29*3.6/1000000/'E Balans VL '!Z10*100)</f>
        <v>0.20652289682377717</v>
      </c>
      <c r="D29" s="234" t="s">
        <v>706</v>
      </c>
      <c r="F29" s="6"/>
    </row>
    <row r="30" spans="1:18">
      <c r="A30" s="229" t="s">
        <v>49</v>
      </c>
      <c r="B30" s="33">
        <f>IF(ISERROR(TER_ander_ele_kWh/1000),0,TER_ander_ele_kWh/1000)</f>
        <v>844.39334361876604</v>
      </c>
      <c r="C30" s="39">
        <f>IF(ISERROR(B30*3.6/1000000/'E Balans VL '!Z14*100),0,B30*3.6/1000000/'E Balans VL '!Z14*100)</f>
        <v>6.5448227808962839E-2</v>
      </c>
      <c r="D30" s="234" t="s">
        <v>706</v>
      </c>
      <c r="F30" s="6"/>
    </row>
    <row r="31" spans="1:18">
      <c r="A31" s="229" t="s">
        <v>54</v>
      </c>
      <c r="B31" s="33">
        <f>IF(ISERROR(TER_onderwijs_ele_kWh/1000),0,TER_onderwijs_ele_kWh/1000)</f>
        <v>286.19223508599202</v>
      </c>
      <c r="C31" s="39">
        <f>IF(ISERROR(B31*3.6/1000000/'E Balans VL '!Z11*100),0,B31*3.6/1000000/'E Balans VL '!Z11*100)</f>
        <v>5.4753451184436572E-2</v>
      </c>
      <c r="D31" s="234" t="s">
        <v>706</v>
      </c>
    </row>
    <row r="32" spans="1:18">
      <c r="A32" s="229" t="s">
        <v>255</v>
      </c>
      <c r="B32" s="33">
        <f>IF(ISERROR(TER_rest_ele_kWh/1000),0,TER_rest_ele_kWh/1000)</f>
        <v>2445.2266443786202</v>
      </c>
      <c r="C32" s="39">
        <f>IF(ISERROR(B32*3.6/1000000/'E Balans VL '!Z8*100),0,B32*3.6/1000000/'E Balans VL '!Z8*100)</f>
        <v>2.0162771410497601E-2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32</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40</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0.21446320533346416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635.84704228718419</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21.859981463811</v>
      </c>
      <c r="C30" s="39">
        <f>IF(ISERROR(B30*3.6/1000000/'E Balans VL '!Z18*100),0,B30*3.6/1000000/'E Balans VL '!Z18*100)</f>
        <v>1.4552323148691879E-3</v>
      </c>
      <c r="D30" s="234" t="s">
        <v>706</v>
      </c>
    </row>
    <row r="31" spans="1:18">
      <c r="A31" s="6" t="s">
        <v>32</v>
      </c>
      <c r="B31" s="37">
        <f>IF( ISERROR(IND_ander_ele_kWh/1000),0,IND_ander_ele_kWh/1000)</f>
        <v>854.90926127128103</v>
      </c>
      <c r="C31" s="39">
        <f>IF(ISERROR(B31*3.6/1000000/'E Balans VL '!Z19*100),0,B31*3.6/1000000/'E Balans VL '!Z19*100)</f>
        <v>3.7894739592190363E-2</v>
      </c>
      <c r="D31" s="234" t="s">
        <v>706</v>
      </c>
    </row>
    <row r="32" spans="1:18">
      <c r="A32" s="169" t="s">
        <v>40</v>
      </c>
      <c r="B32" s="37">
        <f>IF( ISERROR(IND_voed_ele_kWh/1000),0,IND_voed_ele_kWh/1000)</f>
        <v>231.664918749832</v>
      </c>
      <c r="C32" s="39">
        <f>IF(ISERROR(B32*3.6/1000000/'E Balans VL '!Z20*100),0,B32*3.6/1000000/'E Balans VL '!Z20*100)</f>
        <v>7.7382728468853258E-3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24.635761900878101</v>
      </c>
      <c r="C34" s="39">
        <f>IF(ISERROR(B34*3.6/1000000/'E Balans VL '!Z22*100),0,B34*3.6/1000000/'E Balans VL '!Z22*100)</f>
        <v>4.7913850812586253E-3</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1831.7605299244499</v>
      </c>
      <c r="C37" s="39">
        <f>IF(ISERROR(B37*3.6/1000000/'E Balans VL '!Z15*100),0,B37*3.6/1000000/'E Balans VL '!Z15*100)</f>
        <v>1.362531414946903E-2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903.77055615553604</v>
      </c>
      <c r="C5" s="17">
        <f>'Eigen informatie GS &amp; warmtenet'!B60</f>
        <v>0</v>
      </c>
      <c r="D5" s="30">
        <f>IF(ISERROR(SUM(LB_lb_gas_kWh,LB_rest_gas_kWh)/1000),0,SUM(LB_lb_gas_kWh,LB_rest_gas_kWh)/1000)*0.902</f>
        <v>188.76947926421889</v>
      </c>
      <c r="E5" s="17">
        <f>B17*'E Balans VL '!I25/3.6*1000000/100</f>
        <v>9.4644809224072795</v>
      </c>
      <c r="F5" s="17">
        <f>B17*('E Balans VL '!L25/3.6*1000000+'E Balans VL '!N25/3.6*1000000)/100</f>
        <v>3868.824700123304</v>
      </c>
      <c r="G5" s="18"/>
      <c r="H5" s="17"/>
      <c r="I5" s="17"/>
      <c r="J5" s="17">
        <f>('E Balans VL '!D25+'E Balans VL '!E25)/3.6*1000000*landbouw!B17/100</f>
        <v>80.714811298378251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903.77055615553604</v>
      </c>
      <c r="C8" s="21">
        <f>C5+C6</f>
        <v>0</v>
      </c>
      <c r="D8" s="21">
        <f>MAX((D5+D6),0)</f>
        <v>188.76947926421889</v>
      </c>
      <c r="E8" s="21">
        <f>MAX((E5+E6),0)</f>
        <v>9.4644809224072795</v>
      </c>
      <c r="F8" s="21">
        <f>MAX((F5+F6),0)</f>
        <v>3868.824700123304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0.21446320533346416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193.82553035912383</v>
      </c>
      <c r="C12" s="23">
        <f ca="1">C8*C10</f>
        <v>0</v>
      </c>
      <c r="D12" s="23">
        <f>D8*D10</f>
        <v>38.131434811372216</v>
      </c>
      <c r="E12" s="23">
        <f>E8*E10</f>
        <v>2.1484371693864524</v>
      </c>
      <c r="F12" s="23">
        <f>F8*F10</f>
        <v>1032.9761949329222</v>
      </c>
      <c r="G12" s="23"/>
      <c r="H12" s="23"/>
      <c r="I12" s="23"/>
      <c r="J12" s="23">
        <f>J8*J10</f>
        <v>28.5730431996259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0.13910773458806355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141.45791326393666</v>
      </c>
      <c r="C26" s="244">
        <f>B26*'GWP N2O_CH4'!B5</f>
        <v>2970.6161785426698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18.748704214414559</v>
      </c>
      <c r="C27" s="244">
        <f>B27*'GWP N2O_CH4'!B5</f>
        <v>393.72278850270573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2.2166003213751235</v>
      </c>
      <c r="C28" s="244">
        <f>B28*'GWP N2O_CH4'!B4</f>
        <v>687.14609962628833</v>
      </c>
      <c r="D28" s="50"/>
    </row>
    <row r="29" spans="1:4">
      <c r="A29" s="41" t="s">
        <v>272</v>
      </c>
      <c r="B29" s="244">
        <f>B34*'ha_N2O bodem landbouw'!B4</f>
        <v>11.87612232286766</v>
      </c>
      <c r="C29" s="244">
        <f>B29*'GWP N2O_CH4'!B4</f>
        <v>3681.5979200889747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1.9626851912428554E-3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5.1077663582085994E-6</v>
      </c>
      <c r="C5" s="435" t="s">
        <v>210</v>
      </c>
      <c r="D5" s="420">
        <f>SUM(D6:D11)</f>
        <v>1.7378595112182442E-5</v>
      </c>
      <c r="E5" s="420">
        <f>SUM(E6:E11)</f>
        <v>1.9799705497089469E-3</v>
      </c>
      <c r="F5" s="433" t="s">
        <v>210</v>
      </c>
      <c r="G5" s="420">
        <f>SUM(G6:G11)</f>
        <v>0.36580223583871868</v>
      </c>
      <c r="H5" s="420">
        <f>SUM(H6:H11)</f>
        <v>5.8718098751453993E-2</v>
      </c>
      <c r="I5" s="435" t="s">
        <v>210</v>
      </c>
      <c r="J5" s="435" t="s">
        <v>210</v>
      </c>
      <c r="K5" s="435" t="s">
        <v>210</v>
      </c>
      <c r="L5" s="435" t="s">
        <v>210</v>
      </c>
      <c r="M5" s="420">
        <f>SUM(M6:M11)</f>
        <v>1.8460963234717034E-2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1.197639141414529E-6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3.7919901681057789E-6</v>
      </c>
      <c r="E6" s="423">
        <f>vkm_GW_PW*SUMIFS(TableVerdeelsleutelVkm[LPG],TableVerdeelsleutelVkm[Voertuigtype],"Lichte voertuigen")*SUMIFS(TableECFTransport[EnergieConsumptieFactor (PJ per km)],TableECFTransport[Index],CONCATENATE($A6,"_LPG_LPG"))</f>
        <v>3.9515834925610835E-4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5.2635190630910829E-2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1.2627068579428266E-2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2.8486424620448288E-3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6.1964672642253204E-8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2.7932259355185545E-2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7.5626540028804882E-7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1.2033333483114637E-3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9.6807694793042251E-7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5.2091761196597738E-6</v>
      </c>
      <c r="E8" s="423">
        <f>vkm_NGW_PW*SUMIFS(TableVerdeelsleutelVkm[LPG],TableVerdeelsleutelVkm[Voertuigtype],"Lichte voertuigen")*SUMIFS(TableECFTransport[EnergieConsumptieFactor (PJ per km)],TableECFTransport[Index],CONCATENATE($A8,"_LPG_LPG"))</f>
        <v>5.1228930251759157E-4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6.4607843794163469E-2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1.6402259979659127E-2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3.5381679986214798E-3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6.8233898947862933E-9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4.2605053054474516E-3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1.0051866362203311E-7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1.8354365748139204E-4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2.6842644469138201E-6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8.3774288244168901E-6</v>
      </c>
      <c r="E10" s="423">
        <f>vkm_SW_PW*SUMIFS(TableVerdeelsleutelVkm[LPG],TableVerdeelsleutelVkm[Voertuigtype],"Lichte voertuigen")*SUMIFS(TableECFTransport[EnergieConsumptieFactor (PJ per km)],TableECFTransport[Index],CONCATENATE($A10,"_LPG_LPG"))</f>
        <v>1.0725228979352472E-3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0.13415952128399322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2.9685539209034235E-2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7.1457608327465073E-3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1.8899775941278825E-7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8.2206915469018191E-2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2.374199268454924E-6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3.5415149355113606E-3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1.4188239883912777</v>
      </c>
      <c r="C14" s="21"/>
      <c r="D14" s="21">
        <f t="shared" ref="D14:M14" si="0">((D5)*10^9/3600)+D12</f>
        <v>4.82738753116179</v>
      </c>
      <c r="E14" s="21">
        <f t="shared" si="0"/>
        <v>549.99181936359639</v>
      </c>
      <c r="F14" s="21"/>
      <c r="G14" s="21">
        <f t="shared" si="0"/>
        <v>101611.73217742184</v>
      </c>
      <c r="H14" s="21">
        <f t="shared" si="0"/>
        <v>16310.582986514999</v>
      </c>
      <c r="I14" s="21"/>
      <c r="J14" s="21"/>
      <c r="K14" s="21"/>
      <c r="L14" s="21"/>
      <c r="M14" s="21">
        <f t="shared" si="0"/>
        <v>5128.0453429769541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0.21446320533346416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0.30428554035440314</v>
      </c>
      <c r="C18" s="23"/>
      <c r="D18" s="23">
        <f t="shared" ref="D18:M18" si="1">D14*D16</f>
        <v>0.97513228129468166</v>
      </c>
      <c r="E18" s="23">
        <f t="shared" si="1"/>
        <v>124.84814299553638</v>
      </c>
      <c r="F18" s="23"/>
      <c r="G18" s="23">
        <f t="shared" si="1"/>
        <v>27130.332491371635</v>
      </c>
      <c r="H18" s="23">
        <f t="shared" si="1"/>
        <v>4061.3351636422349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1.4649214894196714E-5</v>
      </c>
      <c r="C50" s="315">
        <f t="shared" ref="C50:P50" si="2">SUM(C51:C52)</f>
        <v>0</v>
      </c>
      <c r="D50" s="315">
        <f t="shared" si="2"/>
        <v>0</v>
      </c>
      <c r="E50" s="315">
        <f t="shared" si="2"/>
        <v>0</v>
      </c>
      <c r="F50" s="315">
        <f t="shared" si="2"/>
        <v>0</v>
      </c>
      <c r="G50" s="315">
        <f t="shared" si="2"/>
        <v>3.1780000952534382E-3</v>
      </c>
      <c r="H50" s="315">
        <f t="shared" si="2"/>
        <v>0</v>
      </c>
      <c r="I50" s="315">
        <f t="shared" si="2"/>
        <v>0</v>
      </c>
      <c r="J50" s="315">
        <f t="shared" si="2"/>
        <v>0</v>
      </c>
      <c r="K50" s="315">
        <f t="shared" si="2"/>
        <v>0</v>
      </c>
      <c r="L50" s="315">
        <f t="shared" si="2"/>
        <v>0</v>
      </c>
      <c r="M50" s="315">
        <f t="shared" si="2"/>
        <v>1.360697565889762E-4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1.4649214894196714E-5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3.1780000952534382E-3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1.360697565889762E-4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4.0692263594990878</v>
      </c>
      <c r="C54" s="21">
        <f t="shared" ref="C54:P54" si="3">(C50)*10^9/3600</f>
        <v>0</v>
      </c>
      <c r="D54" s="21">
        <f t="shared" si="3"/>
        <v>0</v>
      </c>
      <c r="E54" s="21">
        <f t="shared" si="3"/>
        <v>0</v>
      </c>
      <c r="F54" s="21">
        <f t="shared" si="3"/>
        <v>0</v>
      </c>
      <c r="G54" s="21">
        <f t="shared" si="3"/>
        <v>882.77780423706622</v>
      </c>
      <c r="H54" s="21">
        <f t="shared" si="3"/>
        <v>0</v>
      </c>
      <c r="I54" s="21">
        <f t="shared" si="3"/>
        <v>0</v>
      </c>
      <c r="J54" s="21">
        <f t="shared" si="3"/>
        <v>0</v>
      </c>
      <c r="K54" s="21">
        <f t="shared" si="3"/>
        <v>0</v>
      </c>
      <c r="L54" s="21">
        <f t="shared" si="3"/>
        <v>0</v>
      </c>
      <c r="M54" s="21">
        <f t="shared" si="3"/>
        <v>37.797154608048942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0.21446320533346416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0.87269932828559771</v>
      </c>
      <c r="C58" s="23">
        <f t="shared" ref="C58:P58" ca="1" si="4">C54*C56</f>
        <v>0</v>
      </c>
      <c r="D58" s="23">
        <f t="shared" si="4"/>
        <v>0</v>
      </c>
      <c r="E58" s="23">
        <f t="shared" si="4"/>
        <v>0</v>
      </c>
      <c r="F58" s="23">
        <f t="shared" si="4"/>
        <v>0</v>
      </c>
      <c r="G58" s="23">
        <f t="shared" si="4"/>
        <v>235.70167373129669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13</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1710.8940207147241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1723.8940207147241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2021-06-29T17:01:28Z</dcterms:modified>
</cp:coreProperties>
</file>