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D20" i="18" s="1"/>
  <c r="C19" i="18"/>
  <c r="B19" i="18"/>
  <c r="N18" i="18"/>
  <c r="M18" i="18"/>
  <c r="L18" i="18"/>
  <c r="K18" i="18"/>
  <c r="J18" i="18"/>
  <c r="I18" i="18"/>
  <c r="H18" i="18"/>
  <c r="G18" i="18"/>
  <c r="F18" i="18"/>
  <c r="F20" i="18" s="1"/>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I76" i="14"/>
  <c r="I8" i="55" s="1"/>
  <c r="I10" i="55" s="1"/>
  <c r="J20" i="18"/>
  <c r="J87" i="14"/>
  <c r="I20" i="18"/>
  <c r="I87" i="14"/>
  <c r="I17" i="55" s="1"/>
  <c r="I20" i="55" s="1"/>
  <c r="O8" i="18"/>
  <c r="O10" i="18" s="1"/>
  <c r="D90" i="14"/>
  <c r="J10" i="18"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<sst xmlns="http://schemas.openxmlformats.org/spreadsheetml/2006/main" count="2581" uniqueCount="983">
  <si>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</si>
  <si>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</si>
  <si>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</si>
  <si>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</si>
  <si>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</si>
  <si>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</si>
  <si>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</si>
  <si>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</si>
  <si>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</si>
  <si>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</si>
  <si>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</si>
  <si>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</si>
  <si>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</si>
  <si>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</si>
  <si>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</si>
  <si>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</si>
  <si>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</si>
  <si>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</si>
  <si>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</si>
  <si>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</si>
  <si>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</si>
  <si>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</si>
  <si>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</si>
  <si>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</si>
  <si>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</si>
  <si>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</si>
  <si>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</si>
  <si>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</si>
  <si>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</si>
  <si>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</si>
  <si>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</si>
  <si>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</si>
  <si>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</si>
  <si>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</si>
  <si>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</si>
  <si>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</si>
  <si>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</si>
  <si>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</si>
  <si>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</si>
  <si>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</si>
  <si>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</si>
  <si>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</si>
  <si>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</si>
  <si>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</si>
  <si>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</si>
  <si>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</si>
  <si>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</si>
  <si>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</si>
  <si>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</si>
  <si>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</si>
  <si>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</si>
  <si>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</si>
  <si>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</si>
  <si>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</si>
  <si>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</si>
  <si>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</si>
  <si>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</si>
  <si>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</si>
  <si>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</si>
  <si>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</si>
  <si>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</si>
  <si>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</si>
  <si>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</si>
  <si>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</si>
  <si>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</si>
  <si>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</si>
  <si>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</si>
  <si>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</si>
  <si>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</si>
  <si>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</si>
  <si>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</si>
  <si>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</si>
  <si>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</si>
  <si>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</si>
  <si>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</si>
  <si>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</si>
  <si>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</si>
  <si>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</si>
  <si>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</si>
  <si>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</si>
  <si>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</si>
  <si>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</si>
  <si>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</si>
  <si>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</si>
  <si>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</si>
  <si>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</si>
  <si>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</si>
  <si>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</si>
  <si>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</si>
  <si>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</si>
  <si>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</si>
  <si>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</si>
  <si>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</si>
  <si>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</si>
  <si>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</si>
  <si>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</si>
  <si>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</si>
  <si>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</si>
  <si>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</si>
  <si>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</si>
  <si>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</si>
  <si>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</si>
  <si>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</si>
  <si>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</si>
  <si>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</si>
  <si>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</si>
  <si>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</si>
  <si>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</si>
  <si>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</si>
  <si>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</si>
  <si>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</si>
  <si>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</si>
  <si>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</si>
  <si>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</si>
  <si>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</si>
  <si>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</si>
  <si>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</si>
  <si>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</si>
  <si>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</si>
  <si>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</si>
  <si>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</si>
  <si>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</si>
  <si>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</si>
  <si>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</si>
  <si>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</si>
  <si>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</si>
  <si>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</si>
  <si>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</si>
  <si>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</si>
  <si>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</si>
  <si>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</si>
  <si>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</si>
  <si>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</si>
  <si>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</si>
  <si>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</si>
  <si>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</si>
  <si>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</si>
  <si>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</si>
  <si>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</si>
  <si>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</si>
  <si>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</si>
  <si>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</si>
  <si>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</si>
  <si>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</si>
  <si>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</si>
  <si>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</si>
  <si>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</si>
  <si>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</si>
  <si>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</si>
  <si>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</si>
  <si>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</si>
  <si>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</si>
  <si>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</si>
  <si>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</si>
  <si>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</si>
  <si>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</si>
  <si>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</si>
  <si>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</si>
  <si>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</si>
  <si>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</si>
  <si>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</si>
  <si>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</si>
  <si>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</si>
  <si>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</si>
  <si>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</si>
  <si>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</si>
  <si>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</si>
  <si>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</si>
  <si>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</si>
  <si>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</si>
  <si>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</si>
  <si>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</si>
  <si>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</si>
  <si>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</si>
  <si>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</si>
  <si>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</si>
  <si>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</si>
  <si>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</si>
  <si>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</si>
  <si>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</si>
  <si>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</si>
  <si>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</si>
  <si>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</si>
  <si>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</si>
  <si>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</si>
  <si>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</si>
  <si>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</si>
  <si>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</si>
  <si>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</si>
  <si>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</si>
  <si>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</si>
  <si>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</si>
  <si>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</si>
  <si>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</si>
  <si>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</si>
  <si>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</si>
  <si>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</si>
  <si>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</si>
  <si>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</si>
  <si>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</si>
  <si>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</si>
  <si>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</si>
  <si>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</si>
  <si>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</si>
  <si>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</si>
  <si>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</si>
  <si>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</si>
  <si>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</si>
  <si>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</si>
  <si>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</si>
  <si>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</si>
  <si>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</si>
  <si>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</si>
  <si>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</si>
  <si>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</si>
  <si>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</si>
  <si>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</si>
  <si>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</si>
  <si>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</si>
  <si>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</si>
  <si>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</si>
  <si>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</si>
  <si>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</si>
  <si>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</si>
  <si>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</si>
  <si>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</si>
  <si>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</si>
  <si>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</si>
  <si>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</si>
  <si>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</si>
  <si>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</si>
  <si>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</si>
  <si>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</si>
  <si>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</si>
  <si>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</si>
  <si>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</si>
  <si>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</si>
  <si>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</si>
  <si>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</si>
  <si>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</si>
  <si>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</si>
  <si>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</si>
  <si>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</si>
  <si>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</si>
  <si>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</si>
  <si>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</si>
  <si>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</si>
  <si>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</si>
  <si>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</si>
  <si>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</si>
  <si>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</si>
  <si>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</si>
  <si>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</si>
  <si>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</si>
  <si>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</si>
  <si>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</si>
  <si>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</si>
  <si>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</si>
  <si>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</si>
  <si>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</si>
  <si>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</si>
  <si>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</si>
  <si>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</si>
  <si>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</si>
  <si>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</si>
  <si>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</si>
  <si>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</si>
  <si>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</si>
  <si>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</si>
  <si>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</si>
  <si>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</si>
  <si>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</si>
  <si>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</si>
  <si>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</si>
  <si>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</si>
  <si>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</si>
  <si>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</si>
  <si>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</si>
  <si>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</si>
  <si>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</si>
  <si>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</si>
  <si>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</si>
  <si>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</si>
  <si>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</si>
  <si>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</si>
  <si>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</si>
  <si>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</si>
  <si>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</si>
  <si>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</si>
  <si>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</si>
  <si>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</si>
  <si>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</si>
  <si>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</si>
  <si>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</si>
  <si>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</si>
  <si>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</si>
  <si>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</si>
  <si>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</si>
  <si>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</si>
  <si>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</si>
  <si>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</si>
  <si>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</si>
  <si>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</si>
  <si>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</si>
  <si>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</si>
  <si>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</si>
  <si>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</si>
  <si>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</si>
  <si>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</si>
  <si>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</si>
  <si>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</si>
  <si>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</si>
  <si>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</si>
  <si>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</si>
  <si>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</si>
  <si>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</si>
  <si>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</si>
  <si>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</si>
  <si>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</si>
  <si>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</si>
  <si>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</si>
  <si>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</si>
  <si>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</si>
  <si>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</si>
  <si>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</si>
  <si>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</si>
  <si>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</si>
  <si>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</si>
  <si>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</si>
  <si>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</si>
  <si>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</si>
  <si>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</si>
  <si>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</si>
  <si>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</si>
  <si>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</si>
  <si>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</si>
  <si>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</si>
  <si>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</si>
  <si>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</si>
  <si>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</si>
  <si>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</si>
  <si>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</si>
  <si>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</si>
  <si>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</si>
  <si>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</si>
  <si>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</si>
  <si>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</si>
  <si>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</si>
  <si>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</si>
  <si>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</si>
  <si>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</si>
  <si>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</si>
  <si>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</si>
  <si>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</si>
  <si>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</si>
  <si>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</si>
  <si>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</si>
  <si>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</si>
  <si>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</si>
  <si>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</si>
  <si>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</si>
  <si>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</si>
  <si>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</si>
  <si>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</si>
  <si>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</si>
  <si>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</si>
  <si>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</si>
  <si>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</si>
  <si>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</si>
  <si>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</si>
  <si>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</si>
  <si>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</si>
  <si>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</si>
  <si>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</si>
  <si>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</si>
  <si>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</si>
  <si>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</si>
  <si>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</si>
  <si>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</si>
  <si>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</si>
  <si>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</si>
  <si>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</si>
  <si>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</si>
  <si>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</si>
  <si>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</si>
  <si>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</si>
  <si>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</si>
  <si>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</si>
  <si>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</si>
  <si>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</si>
  <si>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</si>
  <si>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</si>
  <si>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</si>
  <si>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</si>
  <si>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</si>
  <si>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</si>
  <si>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</si>
  <si>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</si>
  <si>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</si>
  <si>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</si>
  <si>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</si>
  <si>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</si>
  <si>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</si>
  <si>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</si>
  <si>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</si>
  <si>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</si>
  <si>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</si>
  <si>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</si>
  <si>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</si>
  <si>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</si>
  <si>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</si>
  <si>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</si>
  <si>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</si>
  <si>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</si>
  <si>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</si>
  <si>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</si>
  <si>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</si>
  <si>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</si>
  <si>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</si>
  <si>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</si>
  <si>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</si>
  <si>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</si>
  <si>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</si>
  <si>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</si>
  <si>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</si>
  <si>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</si>
  <si>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</si>
  <si>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</si>
  <si>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</si>
  <si>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</si>
  <si>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</si>
  <si>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</si>
  <si>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</si>
  <si>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</si>
  <si>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</si>
  <si>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</si>
  <si>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</si>
  <si>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</si>
  <si>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</si>
  <si>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</si>
  <si>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</si>
  <si>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</si>
  <si>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</si>
  <si>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</si>
  <si>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</si>
  <si>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</si>
  <si>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</si>
  <si>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</si>
  <si>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</si>
  <si>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</si>
  <si>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</si>
  <si>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</si>
  <si>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</si>
  <si>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</si>
  <si>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</si>
  <si>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</si>
  <si>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</si>
  <si>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</si>
  <si>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</si>
  <si>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</si>
  <si>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</si>
  <si>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</si>
  <si>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</si>
  <si>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</si>
  <si>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</si>
  <si>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</si>
  <si>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</si>
  <si>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</si>
  <si>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</si>
  <si>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</si>
  <si>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</si>
  <si>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</si>
  <si>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</si>
  <si>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</si>
  <si>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</si>
  <si>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</si>
  <si>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</si>
  <si>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</si>
  <si>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</si>
  <si>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</si>
  <si>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</si>
  <si>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</si>
  <si>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</si>
  <si>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</si>
  <si>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</si>
  <si>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</si>
  <si>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</si>
  <si>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</si>
  <si>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</si>
  <si>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</si>
  <si>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</si>
  <si>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</si>
  <si>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</si>
  <si>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</si>
  <si>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</si>
  <si>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</si>
  <si>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</si>
  <si>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</si>
  <si>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</si>
  <si>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</si>
  <si>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</si>
  <si>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</si>
  <si>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</si>
  <si>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</si>
  <si>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</si>
  <si>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</si>
  <si>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</si>
  <si>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</si>
  <si>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</si>
  <si>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</si>
  <si>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</si>
  <si>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</si>
  <si>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</si>
  <si>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</si>
  <si>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</si>
  <si>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</si>
  <si>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</si>
  <si>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</si>
  <si>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</si>
  <si>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</si>
  <si>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</si>
  <si>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</si>
  <si>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</si>
  <si>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</si>
  <si>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</si>
  <si>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</si>
  <si>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</si>
  <si>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</si>
  <si>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</si>
  <si>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</si>
  <si>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</si>
  <si>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</si>
  <si>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</si>
  <si>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</si>
  <si>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</si>
  <si>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</si>
  <si>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</si>
  <si>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</si>
  <si>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</si>
  <si>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</si>
  <si>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</si>
  <si>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</si>
  <si>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</si>
  <si>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</si>
  <si>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</si>
  <si>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</si>
  <si>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</si>
  <si>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</si>
  <si>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</si>
  <si>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</si>
  <si>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</si>
  <si>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</si>
  <si>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</si>
  <si>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</si>
  <si>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</si>
  <si>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</si>
  <si>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</si>
  <si>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</si>
  <si>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</si>
  <si>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</si>
  <si>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</si>
  <si>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</si>
  <si>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</si>
  <si>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</si>
  <si>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</si>
  <si>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</si>
  <si>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</si>
  <si>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</si>
  <si>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</si>
  <si>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</si>
  <si>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</si>
  <si>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</si>
  <si>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</si>
  <si>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</si>
  <si>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</si>
  <si>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</si>
  <si>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</si>
  <si>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</si>
  <si>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</si>
  <si>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</si>
  <si>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</si>
  <si>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</si>
  <si>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</si>
  <si>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</si>
  <si>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</si>
  <si>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</si>
  <si>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</si>
  <si>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</si>
  <si>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</si>
  <si>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</si>
  <si>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</si>
  <si>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</si>
  <si>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</si>
  <si>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</si>
  <si>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</si>
  <si>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</si>
  <si>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</si>
  <si>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</si>
  <si>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</si>
  <si>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</si>
  <si>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</si>
  <si>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</si>
  <si>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</si>
  <si>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</si>
  <si>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</si>
  <si>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</si>
  <si>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</si>
  <si>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</si>
  <si>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</si>
  <si>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</si>
  <si>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</si>
  <si>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</si>
  <si>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</si>
  <si>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</si>
  <si>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</si>
  <si>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</si>
  <si>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</si>
  <si>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</si>
  <si>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</si>
  <si>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</si>
  <si>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</si>
  <si>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</si>
  <si>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</si>
  <si>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</si>
  <si>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</si>
  <si>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</si>
  <si>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</si>
  <si>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</si>
  <si>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</si>
  <si>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</si>
  <si>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</si>
  <si>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</si>
  <si>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</si>
  <si>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</si>
  <si>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</si>
  <si>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</si>
  <si>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</si>
  <si>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</si>
  <si>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</si>
  <si>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</si>
  <si>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</si>
  <si>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</si>
  <si>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</si>
  <si>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</si>
  <si>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</si>
  <si>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</si>
  <si>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</si>
  <si>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</si>
  <si>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</si>
  <si>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</si>
  <si>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</si>
  <si>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</si>
  <si>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</si>
  <si>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</si>
  <si>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</si>
  <si>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</si>
  <si>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</si>
  <si>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</si>
  <si>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</si>
  <si>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</si>
  <si>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</si>
  <si>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</si>
  <si>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</si>
  <si>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</si>
  <si>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</si>
  <si>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</si>
  <si>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</si>
  <si>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</si>
  <si>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</si>
  <si>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</si>
  <si>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</si>
  <si>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</si>
  <si>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</si>
  <si>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</si>
  <si>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</si>
  <si>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</si>
  <si>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</si>
  <si>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</si>
  <si>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</si>
  <si>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</si>
  <si>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</si>
  <si>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</si>
  <si>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</si>
  <si>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</si>
  <si>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</si>
  <si>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</si>
  <si>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</si>
  <si>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</si>
  <si>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</si>
  <si>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</si>
  <si>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</si>
  <si>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</si>
  <si>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</si>
  <si>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</si>
  <si>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</si>
  <si>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</si>
  <si>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</si>
  <si>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</si>
  <si>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</si>
  <si>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</si>
  <si>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</si>
  <si>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</si>
  <si>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</si>
  <si>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</si>
  <si>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</si>
  <si>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</si>
  <si>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</si>
  <si>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</si>
  <si>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</si>
  <si>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</si>
  <si>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</si>
  <si>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</si>
  <si>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</si>
  <si>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</si>
  <si>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</si>
  <si>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</si>
  <si>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</si>
  <si>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</si>
  <si>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</si>
  <si>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</si>
  <si>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</si>
  <si>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</si>
  <si>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</si>
  <si>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</si>
  <si>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</si>
  <si>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</si>
  <si>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</si>
  <si>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</si>
  <si>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</si>
  <si>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</si>
  <si>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</si>
  <si>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</si>
  <si>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</si>
  <si>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</si>
  <si>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</si>
  <si>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</si>
  <si>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</si>
  <si>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</si>
  <si>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</si>
  <si>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</si>
  <si>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</si>
  <si>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</si>
  <si>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</si>
  <si>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</si>
  <si>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</si>
  <si>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</si>
  <si>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</si>
  <si>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</si>
  <si>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</si>
  <si>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</si>
  <si>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</si>
  <si>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</si>
  <si>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</si>
  <si>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</si>
  <si>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</si>
  <si>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</si>
  <si>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</si>
  <si>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</si>
  <si>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</si>
  <si>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</si>
  <si>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</si>
  <si>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</si>
  <si>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</si>
  <si>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</si>
  <si>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</si>
  <si>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</si>
  <si>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</si>
  <si>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</si>
  <si>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</si>
  <si>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</si>
  <si>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</si>
  <si>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</si>
  <si>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</si>
  <si>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</si>
  <si>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</si>
  <si>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</si>
  <si>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</si>
  <si>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</si>
  <si>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</si>
  <si>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</si>
  <si>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</si>
  <si>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</si>
  <si>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</si>
  <si>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</si>
  <si>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</si>
  <si>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</si>
  <si>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</si>
  <si>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</si>
  <si>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</si>
  <si>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</si>
  <si>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</si>
  <si>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</si>
  <si>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</si>
  <si>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</si>
  <si>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</si>
  <si>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</si>
  <si>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</si>
  <si>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</si>
  <si>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</si>
  <si>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</si>
  <si>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</si>
  <si>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</si>
  <si>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</si>
  <si>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</si>
  <si>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</si>
  <si>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</si>
  <si>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</si>
  <si>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</si>
  <si>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</si>
  <si>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</si>
  <si>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</si>
  <si>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</si>
  <si>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</si>
  <si>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</si>
  <si>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</si>
  <si>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</si>
  <si>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</si>
  <si>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</si>
  <si>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</si>
  <si>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</si>
  <si>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</si>
  <si>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</si>
  <si>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</si>
  <si>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</si>
  <si>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</si>
  <si>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</si>
  <si>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</si>
  <si>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</si>
  <si>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</si>
  <si>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</si>
  <si>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</si>
  <si>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</si>
  <si>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</si>
  <si>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</si>
  <si>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</si>
  <si>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</si>
  <si>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</si>
  <si>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</si>
  <si>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</si>
  <si>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</si>
  <si>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</si>
  <si>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</si>
  <si>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</si>
  <si>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</si>
  <si>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</si>
  <si>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</si>
  <si>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</si>
  <si>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</si>
  <si>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</si>
  <si>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</si>
  <si>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</si>
  <si>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</si>
  <si>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</si>
  <si>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</si>
  <si>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</si>
  <si>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</si>
  <si>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</si>
  <si>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</si>
  <si>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</si>
  <si>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</si>
  <si>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</si>
  <si>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</si>
  <si>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</si>
  <si>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</si>
  <si>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</si>
  <si>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</si>
  <si>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</si>
  <si>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</si>
  <si>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</si>
  <si>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</si>
  <si>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</si>
  <si>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</si>
  <si>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</si>
  <si>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</si>
  <si>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</si>
  <si>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</si>
  <si>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</si>
  <si>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</si>
  <si>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</si>
  <si>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</si>
  <si>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</si>
  <si>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</si>
  <si>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</si>
  <si>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</si>
  <si>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</si>
  <si>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</si>
  <si>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</si>
  <si>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</si>
  <si>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</si>
  <si>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</si>
  <si>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</si>
  <si>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</si>
  <si>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</si>
  <si>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</si>
  <si>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</si>
  <si>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</si>
  <si>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</si>
  <si>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</si>
  <si>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</si>
  <si>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</si>
  <si>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</si>
  <si>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</si>
  <si>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</si>
  <si>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</si>
  <si>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</si>
  <si>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</si>
  <si>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</si>
  <si>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</si>
  <si>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</si>
  <si>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</si>
  <si>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</si>
  <si>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</si>
  <si>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</si>
  <si>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</si>
  <si>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</si>
  <si>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</si>
  <si>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</si>
  <si>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</si>
  <si>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</si>
  <si>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</si>
  <si>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</si>
  <si>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</si>
  <si>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</si>
  <si>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</si>
  <si>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</si>
  <si>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</si>
  <si>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</si>
  <si>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</si>
  <si>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</si>
  <si>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</si>
  <si>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</si>
  <si>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</si>
  <si>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</si>
  <si>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</si>
  <si>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</si>
  <si>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</si>
  <si>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</si>
  <si>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</si>
  <si>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</si>
  <si>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</si>
  <si>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</si>
  <si>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</si>
  <si>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</si>
  <si>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</si>
  <si>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</si>
  <si>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</si>
  <si>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</si>
  <si>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</si>
  <si>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</si>
  <si>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</si>
  <si>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</si>
  <si>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</si>
  <si>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</si>
  <si>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</si>
  <si>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</si>
  <si>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</si>
  <si>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</si>
  <si>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</si>
  <si>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</si>
  <si>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</si>
  <si>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</si>
  <si>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</si>
  <si>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</si>
  <si>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</si>
  <si>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</si>
  <si>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</si>
  <si>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</si>
  <si>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</si>
  <si>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</si>
  <si>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</si>
  <si>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</si>
  <si>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</si>
  <si>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</si>
  <si>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</si>
  <si>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</si>
  <si>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</si>
  <si>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41011</t>
  </si>
  <si>
    <t>DENDERLEEUW</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</si>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</sst>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41011</v>
      </c>
      <c r="B6" s="386"/>
      <c r="C6" s="387"/>
    </row>
    <row r="7" spans="1:7" s="384" customFormat="1" ht="15.75" customHeight="1">
      <c r="A7" s="388" t="str">
        <f>txtMunicipality</f>
        <v>DENDERLEEUW</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15194.77079986804</v>
      </c>
      <c r="D10" s="676">
        <f ca="1">tertiair!C16</f>
        <v>0</v>
      </c>
      <c r="E10" s="676">
        <f ca="1">tertiair!D16</f>
        <v>12506.707030135396</v>
      </c>
      <c r="F10" s="676">
        <f>tertiair!E16</f>
        <v>234.21787286179577</v>
      </c>
      <c r="G10" s="676">
        <f ca="1">tertiair!F16</f>
        <v>2832.1499720365741</v>
      </c>
      <c r="H10" s="676">
        <f>tertiair!G16</f>
        <v>0</v>
      </c>
      <c r="I10" s="676">
        <f>tertiair!H16</f>
        <v>0</v>
      </c>
      <c r="J10" s="676">
        <f>tertiair!I16</f>
        <v>0</v>
      </c>
      <c r="K10" s="676">
        <f>tertiair!J16</f>
        <v>0</v>
      </c>
      <c r="L10" s="676">
        <f>tertiair!K16</f>
        <v>0</v>
      </c>
      <c r="M10" s="676">
        <f ca="1">tertiair!L16</f>
        <v>0</v>
      </c>
      <c r="N10" s="676">
        <f>tertiair!M16</f>
        <v>0</v>
      </c>
      <c r="O10" s="676">
        <f ca="1">tertiair!N16</f>
        <v>413.36833793672054</v>
      </c>
      <c r="P10" s="676">
        <f>tertiair!O16</f>
        <v>1.5633333333333335</v>
      </c>
      <c r="Q10" s="677">
        <f>tertiair!P16</f>
        <v>171.6</v>
      </c>
      <c r="R10" s="679">
        <f ca="1">SUM(C10:Q10)</f>
        <v>31354.377346171859</v>
      </c>
      <c r="S10" s="67"/>
    </row>
    <row r="11" spans="1:19" s="445" customFormat="1">
      <c r="A11" s="791" t="s">
        <v>220</v>
      </c>
      <c r="B11" s="796"/>
      <c r="C11" s="676">
        <f>huishoudens!B8</f>
        <v>34849.327824046566</v>
      </c>
      <c r="D11" s="676">
        <f>huishoudens!C8</f>
        <v>0</v>
      </c>
      <c r="E11" s="676">
        <f>huishoudens!D8</f>
        <v>67648.540478161536</v>
      </c>
      <c r="F11" s="676">
        <f>huishoudens!E8</f>
        <v>1659.8751712629235</v>
      </c>
      <c r="G11" s="676">
        <f>huishoudens!F8</f>
        <v>56658.835811363213</v>
      </c>
      <c r="H11" s="676">
        <f>huishoudens!G8</f>
        <v>0</v>
      </c>
      <c r="I11" s="676">
        <f>huishoudens!H8</f>
        <v>0</v>
      </c>
      <c r="J11" s="676">
        <f>huishoudens!I8</f>
        <v>0</v>
      </c>
      <c r="K11" s="676">
        <f>huishoudens!J8</f>
        <v>1275.8133360516642</v>
      </c>
      <c r="L11" s="676">
        <f>huishoudens!K8</f>
        <v>0</v>
      </c>
      <c r="M11" s="676">
        <f>huishoudens!L8</f>
        <v>0</v>
      </c>
      <c r="N11" s="676">
        <f>huishoudens!M8</f>
        <v>0</v>
      </c>
      <c r="O11" s="676">
        <f>huishoudens!N8</f>
        <v>9535.1669220214571</v>
      </c>
      <c r="P11" s="676">
        <f>huishoudens!O8</f>
        <v>54.716666666666669</v>
      </c>
      <c r="Q11" s="677">
        <f>huishoudens!P8</f>
        <v>190.66666666666669</v>
      </c>
      <c r="R11" s="679">
        <f>SUM(C11:Q11)</f>
        <v>171872.94287624068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22311.476355019804</v>
      </c>
      <c r="D13" s="676">
        <f>industrie!C18</f>
        <v>0</v>
      </c>
      <c r="E13" s="676">
        <f>industrie!D18</f>
        <v>112525.74976997433</v>
      </c>
      <c r="F13" s="676">
        <f>industrie!E18</f>
        <v>211.49112701674559</v>
      </c>
      <c r="G13" s="676">
        <f>industrie!F18</f>
        <v>5203.2166054104073</v>
      </c>
      <c r="H13" s="676">
        <f>industrie!G18</f>
        <v>0</v>
      </c>
      <c r="I13" s="676">
        <f>industrie!H18</f>
        <v>0</v>
      </c>
      <c r="J13" s="676">
        <f>industrie!I18</f>
        <v>0</v>
      </c>
      <c r="K13" s="676">
        <f>industrie!J18</f>
        <v>148.64437543726947</v>
      </c>
      <c r="L13" s="676">
        <f>industrie!K18</f>
        <v>0</v>
      </c>
      <c r="M13" s="676">
        <f>industrie!L18</f>
        <v>0</v>
      </c>
      <c r="N13" s="676">
        <f>industrie!M18</f>
        <v>0</v>
      </c>
      <c r="O13" s="676">
        <f>industrie!N18</f>
        <v>469.30847243903736</v>
      </c>
      <c r="P13" s="676">
        <f>industrie!O18</f>
        <v>0</v>
      </c>
      <c r="Q13" s="677">
        <f>industrie!P18</f>
        <v>0</v>
      </c>
      <c r="R13" s="679">
        <f>SUM(C13:Q13)</f>
        <v>140869.8867052976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72355.574978934412</v>
      </c>
      <c r="D16" s="709">
        <f t="shared" ref="D16:R16" ca="1" si="0">SUM(D9:D15)</f>
        <v>0</v>
      </c>
      <c r="E16" s="709">
        <f t="shared" ca="1" si="0"/>
        <v>192680.99727827124</v>
      </c>
      <c r="F16" s="709">
        <f t="shared" si="0"/>
        <v>2105.5841711414646</v>
      </c>
      <c r="G16" s="709">
        <f t="shared" ca="1" si="0"/>
        <v>64694.202388810198</v>
      </c>
      <c r="H16" s="709">
        <f t="shared" si="0"/>
        <v>0</v>
      </c>
      <c r="I16" s="709">
        <f t="shared" si="0"/>
        <v>0</v>
      </c>
      <c r="J16" s="709">
        <f t="shared" si="0"/>
        <v>0</v>
      </c>
      <c r="K16" s="709">
        <f t="shared" si="0"/>
        <v>1424.4577114889337</v>
      </c>
      <c r="L16" s="709">
        <f t="shared" si="0"/>
        <v>0</v>
      </c>
      <c r="M16" s="709">
        <f t="shared" ca="1" si="0"/>
        <v>0</v>
      </c>
      <c r="N16" s="709">
        <f t="shared" si="0"/>
        <v>0</v>
      </c>
      <c r="O16" s="709">
        <f t="shared" ca="1" si="0"/>
        <v>10417.843732397216</v>
      </c>
      <c r="P16" s="709">
        <f t="shared" si="0"/>
        <v>56.28</v>
      </c>
      <c r="Q16" s="709">
        <f t="shared" si="0"/>
        <v>362.26666666666665</v>
      </c>
      <c r="R16" s="709">
        <f t="shared" ca="1" si="0"/>
        <v>344097.2069277101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4.5671209334804832</v>
      </c>
      <c r="D19" s="676">
        <f>transport!C54</f>
        <v>0</v>
      </c>
      <c r="E19" s="676">
        <f>transport!D54</f>
        <v>0</v>
      </c>
      <c r="F19" s="676">
        <f>transport!E54</f>
        <v>0</v>
      </c>
      <c r="G19" s="676">
        <f>transport!F54</f>
        <v>0</v>
      </c>
      <c r="H19" s="676">
        <f>transport!G54</f>
        <v>990.79103327133214</v>
      </c>
      <c r="I19" s="676">
        <f>transport!H54</f>
        <v>0</v>
      </c>
      <c r="J19" s="676">
        <f>transport!I54</f>
        <v>0</v>
      </c>
      <c r="K19" s="676">
        <f>transport!J54</f>
        <v>0</v>
      </c>
      <c r="L19" s="676">
        <f>transport!K54</f>
        <v>0</v>
      </c>
      <c r="M19" s="676">
        <f>transport!L54</f>
        <v>0</v>
      </c>
      <c r="N19" s="676">
        <f>transport!M54</f>
        <v>42.421866169585201</v>
      </c>
      <c r="O19" s="676">
        <f>transport!N54</f>
        <v>0</v>
      </c>
      <c r="P19" s="676">
        <f>transport!O54</f>
        <v>0</v>
      </c>
      <c r="Q19" s="677">
        <f>transport!P54</f>
        <v>0</v>
      </c>
      <c r="R19" s="679">
        <f>SUM(C19:Q19)</f>
        <v>1037.7800203743977</v>
      </c>
      <c r="S19" s="67"/>
    </row>
    <row r="20" spans="1:19" s="445" customFormat="1">
      <c r="A20" s="791" t="s">
        <v>302</v>
      </c>
      <c r="B20" s="796"/>
      <c r="C20" s="676">
        <f>transport!B14</f>
        <v>0.61258134031730671</v>
      </c>
      <c r="D20" s="676">
        <f>transport!C14</f>
        <v>0</v>
      </c>
      <c r="E20" s="676">
        <f>transport!D14</f>
        <v>2.501383317282786</v>
      </c>
      <c r="F20" s="676">
        <f>transport!E14</f>
        <v>256.52767490015134</v>
      </c>
      <c r="G20" s="676">
        <f>transport!F14</f>
        <v>0</v>
      </c>
      <c r="H20" s="676">
        <f>transport!G14</f>
        <v>40229.267182643081</v>
      </c>
      <c r="I20" s="676">
        <f>transport!H14</f>
        <v>8101.0632778553709</v>
      </c>
      <c r="J20" s="676">
        <f>transport!I14</f>
        <v>0</v>
      </c>
      <c r="K20" s="676">
        <f>transport!J14</f>
        <v>0</v>
      </c>
      <c r="L20" s="676">
        <f>transport!K14</f>
        <v>0</v>
      </c>
      <c r="M20" s="676">
        <f>transport!L14</f>
        <v>0</v>
      </c>
      <c r="N20" s="676">
        <f>transport!M14</f>
        <v>2105.8957129838677</v>
      </c>
      <c r="O20" s="676">
        <f>transport!N14</f>
        <v>0</v>
      </c>
      <c r="P20" s="676">
        <f>transport!O14</f>
        <v>0</v>
      </c>
      <c r="Q20" s="677">
        <f>transport!P14</f>
        <v>0</v>
      </c>
      <c r="R20" s="679">
        <f>SUM(C20:Q20)</f>
        <v>50695.867813040073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5.1797022737977896</v>
      </c>
      <c r="D22" s="794">
        <f t="shared" ref="D22:R22" si="1">SUM(D18:D21)</f>
        <v>0</v>
      </c>
      <c r="E22" s="794">
        <f t="shared" si="1"/>
        <v>2.501383317282786</v>
      </c>
      <c r="F22" s="794">
        <f t="shared" si="1"/>
        <v>256.52767490015134</v>
      </c>
      <c r="G22" s="794">
        <f t="shared" si="1"/>
        <v>0</v>
      </c>
      <c r="H22" s="794">
        <f t="shared" si="1"/>
        <v>41220.058215914411</v>
      </c>
      <c r="I22" s="794">
        <f t="shared" si="1"/>
        <v>8101.0632778553709</v>
      </c>
      <c r="J22" s="794">
        <f t="shared" si="1"/>
        <v>0</v>
      </c>
      <c r="K22" s="794">
        <f t="shared" si="1"/>
        <v>0</v>
      </c>
      <c r="L22" s="794">
        <f t="shared" si="1"/>
        <v>0</v>
      </c>
      <c r="M22" s="794">
        <f t="shared" si="1"/>
        <v>0</v>
      </c>
      <c r="N22" s="794">
        <f t="shared" si="1"/>
        <v>2148.3175791534532</v>
      </c>
      <c r="O22" s="794">
        <f t="shared" si="1"/>
        <v>0</v>
      </c>
      <c r="P22" s="794">
        <f t="shared" si="1"/>
        <v>0</v>
      </c>
      <c r="Q22" s="794">
        <f t="shared" si="1"/>
        <v>0</v>
      </c>
      <c r="R22" s="794">
        <f t="shared" si="1"/>
        <v>51733.64783341447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115.77760668970801</v>
      </c>
      <c r="D24" s="676">
        <f>+landbouw!C8</f>
        <v>0</v>
      </c>
      <c r="E24" s="676">
        <f>+landbouw!D8</f>
        <v>35.259865446899937</v>
      </c>
      <c r="F24" s="676">
        <f>+landbouw!E8</f>
        <v>1.2124481620843326</v>
      </c>
      <c r="G24" s="676">
        <f>+landbouw!F8</f>
        <v>495.61612892953906</v>
      </c>
      <c r="H24" s="676">
        <f>+landbouw!G8</f>
        <v>0</v>
      </c>
      <c r="I24" s="676">
        <f>+landbouw!H8</f>
        <v>0</v>
      </c>
      <c r="J24" s="676">
        <f>+landbouw!I8</f>
        <v>0</v>
      </c>
      <c r="K24" s="676">
        <f>+landbouw!J8</f>
        <v>10.339978009783046</v>
      </c>
      <c r="L24" s="676">
        <f>+landbouw!K8</f>
        <v>0</v>
      </c>
      <c r="M24" s="676">
        <f>+landbouw!L8</f>
        <v>0</v>
      </c>
      <c r="N24" s="676">
        <f>+landbouw!M8</f>
        <v>0</v>
      </c>
      <c r="O24" s="676">
        <f>+landbouw!N8</f>
        <v>0</v>
      </c>
      <c r="P24" s="676">
        <f>+landbouw!O8</f>
        <v>0</v>
      </c>
      <c r="Q24" s="677">
        <f>+landbouw!P8</f>
        <v>0</v>
      </c>
      <c r="R24" s="679">
        <f>SUM(C24:Q24)</f>
        <v>658.20602723801437</v>
      </c>
      <c r="S24" s="67"/>
    </row>
    <row r="25" spans="1:19" s="445" customFormat="1" ht="15" thickBot="1">
      <c r="A25" s="813" t="s">
        <v>895</v>
      </c>
      <c r="B25" s="968"/>
      <c r="C25" s="969">
        <f>IF(Onbekend_ele_kWh="---",0,Onbekend_ele_kWh)/1000+IF(REST_rest_ele_kWh="---",0,REST_rest_ele_kWh)/1000</f>
        <v>1339.22618855563</v>
      </c>
      <c r="D25" s="969"/>
      <c r="E25" s="969">
        <f>IF(onbekend_gas_kWh="---",0,onbekend_gas_kWh)/1000+IF(REST_rest_gas_kWh="---",0,REST_rest_gas_kWh)/1000</f>
        <v>2508.5314466681498</v>
      </c>
      <c r="F25" s="969"/>
      <c r="G25" s="969"/>
      <c r="H25" s="969"/>
      <c r="I25" s="969"/>
      <c r="J25" s="969"/>
      <c r="K25" s="969"/>
      <c r="L25" s="969"/>
      <c r="M25" s="969"/>
      <c r="N25" s="969"/>
      <c r="O25" s="969"/>
      <c r="P25" s="969"/>
      <c r="Q25" s="970"/>
      <c r="R25" s="679">
        <f>SUM(C25:Q25)</f>
        <v>3847.7576352237797</v>
      </c>
      <c r="S25" s="67"/>
    </row>
    <row r="26" spans="1:19" s="445" customFormat="1" ht="15.75" thickBot="1">
      <c r="A26" s="682" t="s">
        <v>896</v>
      </c>
      <c r="B26" s="799"/>
      <c r="C26" s="794">
        <f>SUM(C24:C25)</f>
        <v>1455.0037952453379</v>
      </c>
      <c r="D26" s="794">
        <f t="shared" ref="D26:R26" si="2">SUM(D24:D25)</f>
        <v>0</v>
      </c>
      <c r="E26" s="794">
        <f t="shared" si="2"/>
        <v>2543.7913121150495</v>
      </c>
      <c r="F26" s="794">
        <f t="shared" si="2"/>
        <v>1.2124481620843326</v>
      </c>
      <c r="G26" s="794">
        <f t="shared" si="2"/>
        <v>495.61612892953906</v>
      </c>
      <c r="H26" s="794">
        <f t="shared" si="2"/>
        <v>0</v>
      </c>
      <c r="I26" s="794">
        <f t="shared" si="2"/>
        <v>0</v>
      </c>
      <c r="J26" s="794">
        <f t="shared" si="2"/>
        <v>0</v>
      </c>
      <c r="K26" s="794">
        <f t="shared" si="2"/>
        <v>10.339978009783046</v>
      </c>
      <c r="L26" s="794">
        <f t="shared" si="2"/>
        <v>0</v>
      </c>
      <c r="M26" s="794">
        <f t="shared" si="2"/>
        <v>0</v>
      </c>
      <c r="N26" s="794">
        <f t="shared" si="2"/>
        <v>0</v>
      </c>
      <c r="O26" s="794">
        <f t="shared" si="2"/>
        <v>0</v>
      </c>
      <c r="P26" s="794">
        <f t="shared" si="2"/>
        <v>0</v>
      </c>
      <c r="Q26" s="794">
        <f t="shared" si="2"/>
        <v>0</v>
      </c>
      <c r="R26" s="794">
        <f t="shared" si="2"/>
        <v>4505.9636624617942</v>
      </c>
      <c r="S26" s="67"/>
    </row>
    <row r="27" spans="1:19" s="445" customFormat="1" ht="17.25" thickTop="1" thickBot="1">
      <c r="A27" s="683" t="s">
        <v>115</v>
      </c>
      <c r="B27" s="786"/>
      <c r="C27" s="684">
        <f ca="1">C22+C16+C26</f>
        <v>73815.758476453557</v>
      </c>
      <c r="D27" s="684">
        <f t="shared" ref="D27:R27" ca="1" si="3">D22+D16+D26</f>
        <v>0</v>
      </c>
      <c r="E27" s="684">
        <f t="shared" ca="1" si="3"/>
        <v>195227.28997370359</v>
      </c>
      <c r="F27" s="684">
        <f t="shared" si="3"/>
        <v>2363.3242942037004</v>
      </c>
      <c r="G27" s="684">
        <f t="shared" ca="1" si="3"/>
        <v>65189.818517739739</v>
      </c>
      <c r="H27" s="684">
        <f t="shared" si="3"/>
        <v>41220.058215914411</v>
      </c>
      <c r="I27" s="684">
        <f t="shared" si="3"/>
        <v>8101.0632778553709</v>
      </c>
      <c r="J27" s="684">
        <f t="shared" si="3"/>
        <v>0</v>
      </c>
      <c r="K27" s="684">
        <f t="shared" si="3"/>
        <v>1434.7976894987166</v>
      </c>
      <c r="L27" s="684">
        <f t="shared" si="3"/>
        <v>0</v>
      </c>
      <c r="M27" s="684">
        <f t="shared" ca="1" si="3"/>
        <v>0</v>
      </c>
      <c r="N27" s="684">
        <f t="shared" si="3"/>
        <v>2148.3175791534532</v>
      </c>
      <c r="O27" s="684">
        <f t="shared" ca="1" si="3"/>
        <v>10417.843732397216</v>
      </c>
      <c r="P27" s="684">
        <f t="shared" si="3"/>
        <v>56.28</v>
      </c>
      <c r="Q27" s="684">
        <f t="shared" si="3"/>
        <v>362.26666666666665</v>
      </c>
      <c r="R27" s="684">
        <f t="shared" ca="1" si="3"/>
        <v>400336.81842358637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3274.8291187789187</v>
      </c>
      <c r="D40" s="676">
        <f ca="1">tertiair!C20</f>
        <v>0</v>
      </c>
      <c r="E40" s="676">
        <f ca="1">tertiair!D20</f>
        <v>2526.3548200873502</v>
      </c>
      <c r="F40" s="676">
        <f>tertiair!E20</f>
        <v>53.167457139627643</v>
      </c>
      <c r="G40" s="676">
        <f ca="1">tertiair!F20</f>
        <v>756.18404253376536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6610.5354385396613</v>
      </c>
    </row>
    <row r="41" spans="1:18">
      <c r="A41" s="804" t="s">
        <v>220</v>
      </c>
      <c r="B41" s="811"/>
      <c r="C41" s="676">
        <f ca="1">huishoudens!B12</f>
        <v>7510.8466610796922</v>
      </c>
      <c r="D41" s="676">
        <f ca="1">huishoudens!C12</f>
        <v>0</v>
      </c>
      <c r="E41" s="676">
        <f>huishoudens!D12</f>
        <v>13665.005176588631</v>
      </c>
      <c r="F41" s="676">
        <f>huishoudens!E12</f>
        <v>376.79166387668363</v>
      </c>
      <c r="G41" s="676">
        <f>huishoudens!F12</f>
        <v>15127.909161633979</v>
      </c>
      <c r="H41" s="676">
        <f>huishoudens!G12</f>
        <v>0</v>
      </c>
      <c r="I41" s="676">
        <f>huishoudens!H12</f>
        <v>0</v>
      </c>
      <c r="J41" s="676">
        <f>huishoudens!I12</f>
        <v>0</v>
      </c>
      <c r="K41" s="676">
        <f>huishoudens!J12</f>
        <v>451.63792096228912</v>
      </c>
      <c r="L41" s="676">
        <f>huishoudens!K12</f>
        <v>0</v>
      </c>
      <c r="M41" s="676">
        <f>huishoudens!L12</f>
        <v>0</v>
      </c>
      <c r="N41" s="676">
        <f>huishoudens!M12</f>
        <v>0</v>
      </c>
      <c r="O41" s="676">
        <f>huishoudens!N12</f>
        <v>0</v>
      </c>
      <c r="P41" s="676">
        <f>huishoudens!O12</f>
        <v>0</v>
      </c>
      <c r="Q41" s="751">
        <f>huishoudens!P12</f>
        <v>0</v>
      </c>
      <c r="R41" s="832">
        <f t="shared" ca="1" si="4"/>
        <v>37132.190584141274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4808.6459093546009</v>
      </c>
      <c r="D43" s="676">
        <f ca="1">industrie!C22</f>
        <v>0</v>
      </c>
      <c r="E43" s="676">
        <f>industrie!D22</f>
        <v>22730.201453534813</v>
      </c>
      <c r="F43" s="676">
        <f>industrie!E22</f>
        <v>48.008485832801249</v>
      </c>
      <c r="G43" s="676">
        <f>industrie!F22</f>
        <v>1389.2588336445788</v>
      </c>
      <c r="H43" s="676">
        <f>industrie!G22</f>
        <v>0</v>
      </c>
      <c r="I43" s="676">
        <f>industrie!H22</f>
        <v>0</v>
      </c>
      <c r="J43" s="676">
        <f>industrie!I22</f>
        <v>0</v>
      </c>
      <c r="K43" s="676">
        <f>industrie!J22</f>
        <v>52.620108904793391</v>
      </c>
      <c r="L43" s="676">
        <f>industrie!K22</f>
        <v>0</v>
      </c>
      <c r="M43" s="676">
        <f>industrie!L22</f>
        <v>0</v>
      </c>
      <c r="N43" s="676">
        <f>industrie!M22</f>
        <v>0</v>
      </c>
      <c r="O43" s="676">
        <f>industrie!N22</f>
        <v>0</v>
      </c>
      <c r="P43" s="676">
        <f>industrie!O22</f>
        <v>0</v>
      </c>
      <c r="Q43" s="751">
        <f>industrie!P22</f>
        <v>0</v>
      </c>
      <c r="R43" s="831">
        <f t="shared" ca="1" si="4"/>
        <v>29028.734791271589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15594.321689213211</v>
      </c>
      <c r="D46" s="709">
        <f t="shared" ref="D46:Q46" ca="1" si="5">SUM(D39:D45)</f>
        <v>0</v>
      </c>
      <c r="E46" s="709">
        <f t="shared" ca="1" si="5"/>
        <v>38921.561450210793</v>
      </c>
      <c r="F46" s="709">
        <f t="shared" si="5"/>
        <v>477.96760684911249</v>
      </c>
      <c r="G46" s="709">
        <f t="shared" ca="1" si="5"/>
        <v>17273.352037812321</v>
      </c>
      <c r="H46" s="709">
        <f t="shared" si="5"/>
        <v>0</v>
      </c>
      <c r="I46" s="709">
        <f t="shared" si="5"/>
        <v>0</v>
      </c>
      <c r="J46" s="709">
        <f t="shared" si="5"/>
        <v>0</v>
      </c>
      <c r="K46" s="709">
        <f t="shared" si="5"/>
        <v>504.25802986708248</v>
      </c>
      <c r="L46" s="709">
        <f t="shared" si="5"/>
        <v>0</v>
      </c>
      <c r="M46" s="709">
        <f t="shared" ca="1" si="5"/>
        <v>0</v>
      </c>
      <c r="N46" s="709">
        <f t="shared" si="5"/>
        <v>0</v>
      </c>
      <c r="O46" s="709">
        <f t="shared" ca="1" si="5"/>
        <v>0</v>
      </c>
      <c r="P46" s="709">
        <f t="shared" si="5"/>
        <v>0</v>
      </c>
      <c r="Q46" s="709">
        <f t="shared" si="5"/>
        <v>0</v>
      </c>
      <c r="R46" s="709">
        <f ca="1">SUM(R39:R45)</f>
        <v>72771.460813952523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0.98432156818558492</v>
      </c>
      <c r="D49" s="676">
        <f ca="1">transport!C58</f>
        <v>0</v>
      </c>
      <c r="E49" s="676">
        <f>transport!D58</f>
        <v>0</v>
      </c>
      <c r="F49" s="676">
        <f>transport!E58</f>
        <v>0</v>
      </c>
      <c r="G49" s="676">
        <f>transport!F58</f>
        <v>0</v>
      </c>
      <c r="H49" s="676">
        <f>transport!G58</f>
        <v>264.54120588344568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265.52552745163126</v>
      </c>
    </row>
    <row r="50" spans="1:18">
      <c r="A50" s="807" t="s">
        <v>302</v>
      </c>
      <c r="B50" s="817"/>
      <c r="C50" s="975">
        <f ca="1">transport!B18</f>
        <v>0.13202563153563043</v>
      </c>
      <c r="D50" s="975">
        <f>transport!C18</f>
        <v>0</v>
      </c>
      <c r="E50" s="975">
        <f>transport!D18</f>
        <v>0.50527943009112275</v>
      </c>
      <c r="F50" s="975">
        <f>transport!E18</f>
        <v>58.231782202334358</v>
      </c>
      <c r="G50" s="975">
        <f>transport!F18</f>
        <v>0</v>
      </c>
      <c r="H50" s="975">
        <f>transport!G18</f>
        <v>10741.214337765703</v>
      </c>
      <c r="I50" s="975">
        <f>transport!H18</f>
        <v>2017.1647561859872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12817.248181215651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1.1163471997212153</v>
      </c>
      <c r="D52" s="709">
        <f t="shared" ref="D52:Q52" ca="1" si="6">SUM(D48:D51)</f>
        <v>0</v>
      </c>
      <c r="E52" s="709">
        <f t="shared" si="6"/>
        <v>0.50527943009112275</v>
      </c>
      <c r="F52" s="709">
        <f t="shared" si="6"/>
        <v>58.231782202334358</v>
      </c>
      <c r="G52" s="709">
        <f t="shared" si="6"/>
        <v>0</v>
      </c>
      <c r="H52" s="709">
        <f t="shared" si="6"/>
        <v>11005.755543649149</v>
      </c>
      <c r="I52" s="709">
        <f t="shared" si="6"/>
        <v>2017.1647561859872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13082.773708667282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24.952786895165374</v>
      </c>
      <c r="D54" s="975">
        <f ca="1">+landbouw!C12</f>
        <v>0</v>
      </c>
      <c r="E54" s="975">
        <f>+landbouw!D12</f>
        <v>7.1224928202737878</v>
      </c>
      <c r="F54" s="975">
        <f>+landbouw!E12</f>
        <v>0.2752257327931435</v>
      </c>
      <c r="G54" s="975">
        <f>+landbouw!F12</f>
        <v>132.32950642418695</v>
      </c>
      <c r="H54" s="975">
        <f>+landbouw!G12</f>
        <v>0</v>
      </c>
      <c r="I54" s="975">
        <f>+landbouw!H12</f>
        <v>0</v>
      </c>
      <c r="J54" s="975">
        <f>+landbouw!I12</f>
        <v>0</v>
      </c>
      <c r="K54" s="975">
        <f>+landbouw!J12</f>
        <v>3.660352215463198</v>
      </c>
      <c r="L54" s="975">
        <f>+landbouw!K12</f>
        <v>0</v>
      </c>
      <c r="M54" s="975">
        <f>+landbouw!L12</f>
        <v>0</v>
      </c>
      <c r="N54" s="975">
        <f>+landbouw!M12</f>
        <v>0</v>
      </c>
      <c r="O54" s="975">
        <f>+landbouw!N12</f>
        <v>0</v>
      </c>
      <c r="P54" s="975">
        <f>+landbouw!O12</f>
        <v>0</v>
      </c>
      <c r="Q54" s="976">
        <f>+landbouw!P12</f>
        <v>0</v>
      </c>
      <c r="R54" s="708">
        <f ca="1">SUM(C54:Q54)</f>
        <v>168.34036408788245</v>
      </c>
    </row>
    <row r="55" spans="1:18" ht="15" thickBot="1">
      <c r="A55" s="807" t="s">
        <v>895</v>
      </c>
      <c r="B55" s="817"/>
      <c r="C55" s="975">
        <f ca="1">C25*'EF ele_warmte'!B12</f>
        <v>288.63462152067291</v>
      </c>
      <c r="D55" s="975"/>
      <c r="E55" s="975">
        <f>E25*EF_CO2_aardgas</f>
        <v>506.72335222696631</v>
      </c>
      <c r="F55" s="975"/>
      <c r="G55" s="975"/>
      <c r="H55" s="975"/>
      <c r="I55" s="975"/>
      <c r="J55" s="975"/>
      <c r="K55" s="975"/>
      <c r="L55" s="975"/>
      <c r="M55" s="975"/>
      <c r="N55" s="975"/>
      <c r="O55" s="975"/>
      <c r="P55" s="975"/>
      <c r="Q55" s="976"/>
      <c r="R55" s="708">
        <f ca="1">SUM(C55:Q55)</f>
        <v>795.35797374763922</v>
      </c>
    </row>
    <row r="56" spans="1:18" ht="15.75" thickBot="1">
      <c r="A56" s="805" t="s">
        <v>896</v>
      </c>
      <c r="B56" s="818"/>
      <c r="C56" s="709">
        <f ca="1">SUM(C54:C55)</f>
        <v>313.5874084158383</v>
      </c>
      <c r="D56" s="709">
        <f t="shared" ref="D56:Q56" ca="1" si="7">SUM(D54:D55)</f>
        <v>0</v>
      </c>
      <c r="E56" s="709">
        <f t="shared" si="7"/>
        <v>513.84584504724012</v>
      </c>
      <c r="F56" s="709">
        <f t="shared" si="7"/>
        <v>0.2752257327931435</v>
      </c>
      <c r="G56" s="709">
        <f t="shared" si="7"/>
        <v>132.32950642418695</v>
      </c>
      <c r="H56" s="709">
        <f t="shared" si="7"/>
        <v>0</v>
      </c>
      <c r="I56" s="709">
        <f t="shared" si="7"/>
        <v>0</v>
      </c>
      <c r="J56" s="709">
        <f t="shared" si="7"/>
        <v>0</v>
      </c>
      <c r="K56" s="709">
        <f t="shared" si="7"/>
        <v>3.660352215463198</v>
      </c>
      <c r="L56" s="709">
        <f t="shared" si="7"/>
        <v>0</v>
      </c>
      <c r="M56" s="709">
        <f t="shared" si="7"/>
        <v>0</v>
      </c>
      <c r="N56" s="709">
        <f t="shared" si="7"/>
        <v>0</v>
      </c>
      <c r="O56" s="709">
        <f t="shared" si="7"/>
        <v>0</v>
      </c>
      <c r="P56" s="709">
        <f t="shared" si="7"/>
        <v>0</v>
      </c>
      <c r="Q56" s="710">
        <f t="shared" si="7"/>
        <v>0</v>
      </c>
      <c r="R56" s="711">
        <f ca="1">SUM(R54:R55)</f>
        <v>963.69833783552167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15909.025444828771</v>
      </c>
      <c r="D61" s="717">
        <f t="shared" ref="D61:Q61" ca="1" si="8">D46+D52+D56</f>
        <v>0</v>
      </c>
      <c r="E61" s="717">
        <f t="shared" ca="1" si="8"/>
        <v>39435.912574688125</v>
      </c>
      <c r="F61" s="717">
        <f t="shared" si="8"/>
        <v>536.47461478423998</v>
      </c>
      <c r="G61" s="717">
        <f t="shared" ca="1" si="8"/>
        <v>17405.681544236508</v>
      </c>
      <c r="H61" s="717">
        <f t="shared" si="8"/>
        <v>11005.755543649149</v>
      </c>
      <c r="I61" s="717">
        <f t="shared" si="8"/>
        <v>2017.1647561859872</v>
      </c>
      <c r="J61" s="717">
        <f t="shared" si="8"/>
        <v>0</v>
      </c>
      <c r="K61" s="717">
        <f t="shared" si="8"/>
        <v>507.91838208254569</v>
      </c>
      <c r="L61" s="717">
        <f t="shared" si="8"/>
        <v>0</v>
      </c>
      <c r="M61" s="717">
        <f t="shared" ca="1" si="8"/>
        <v>0</v>
      </c>
      <c r="N61" s="717">
        <f t="shared" si="8"/>
        <v>0</v>
      </c>
      <c r="O61" s="717">
        <f t="shared" ca="1" si="8"/>
        <v>0</v>
      </c>
      <c r="P61" s="717">
        <f t="shared" si="8"/>
        <v>0</v>
      </c>
      <c r="Q61" s="717">
        <f t="shared" si="8"/>
        <v>0</v>
      </c>
      <c r="R61" s="717">
        <f ca="1">R46+R52+R56</f>
        <v>86817.93286045533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0.21552342986360534</v>
      </c>
      <c r="D63" s="761">
        <f t="shared" ca="1" si="9"/>
        <v>0</v>
      </c>
      <c r="E63" s="977">
        <f t="shared" ca="1" si="9"/>
        <v>0.20200000000000001</v>
      </c>
      <c r="F63" s="761">
        <f t="shared" si="9"/>
        <v>0.22699999999999998</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1829.2180021152133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1829.2180021152133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34849.327824046566</v>
      </c>
      <c r="C4" s="449">
        <f>huishoudens!C8</f>
        <v>0</v>
      </c>
      <c r="D4" s="449">
        <f>huishoudens!D8</f>
        <v>67648.540478161536</v>
      </c>
      <c r="E4" s="449">
        <f>huishoudens!E8</f>
        <v>1659.8751712629235</v>
      </c>
      <c r="F4" s="449">
        <f>huishoudens!F8</f>
        <v>56658.835811363213</v>
      </c>
      <c r="G4" s="449">
        <f>huishoudens!G8</f>
        <v>0</v>
      </c>
      <c r="H4" s="449">
        <f>huishoudens!H8</f>
        <v>0</v>
      </c>
      <c r="I4" s="449">
        <f>huishoudens!I8</f>
        <v>0</v>
      </c>
      <c r="J4" s="449">
        <f>huishoudens!J8</f>
        <v>1275.8133360516642</v>
      </c>
      <c r="K4" s="449">
        <f>huishoudens!K8</f>
        <v>0</v>
      </c>
      <c r="L4" s="449">
        <f>huishoudens!L8</f>
        <v>0</v>
      </c>
      <c r="M4" s="449">
        <f>huishoudens!M8</f>
        <v>0</v>
      </c>
      <c r="N4" s="449">
        <f>huishoudens!N8</f>
        <v>9535.1669220214571</v>
      </c>
      <c r="O4" s="449">
        <f>huishoudens!O8</f>
        <v>54.716666666666669</v>
      </c>
      <c r="P4" s="450">
        <f>huishoudens!P8</f>
        <v>190.66666666666669</v>
      </c>
      <c r="Q4" s="451">
        <f>SUM(B4:P4)</f>
        <v>171872.94287624068</v>
      </c>
    </row>
    <row r="5" spans="1:17">
      <c r="A5" s="448" t="s">
        <v>155</v>
      </c>
      <c r="B5" s="449">
        <f ca="1">tertiair!B16</f>
        <v>13986.758799868039</v>
      </c>
      <c r="C5" s="449">
        <f ca="1">tertiair!C16</f>
        <v>0</v>
      </c>
      <c r="D5" s="449">
        <f ca="1">tertiair!D16</f>
        <v>12506.707030135396</v>
      </c>
      <c r="E5" s="449">
        <f>tertiair!E16</f>
        <v>234.21787286179577</v>
      </c>
      <c r="F5" s="449">
        <f ca="1">tertiair!F16</f>
        <v>2832.1499720365741</v>
      </c>
      <c r="G5" s="449">
        <f>tertiair!G16</f>
        <v>0</v>
      </c>
      <c r="H5" s="449">
        <f>tertiair!H16</f>
        <v>0</v>
      </c>
      <c r="I5" s="449">
        <f>tertiair!I16</f>
        <v>0</v>
      </c>
      <c r="J5" s="449">
        <f>tertiair!J16</f>
        <v>0</v>
      </c>
      <c r="K5" s="449">
        <f>tertiair!K16</f>
        <v>0</v>
      </c>
      <c r="L5" s="449">
        <f ca="1">tertiair!L16</f>
        <v>0</v>
      </c>
      <c r="M5" s="449">
        <f>tertiair!M16</f>
        <v>0</v>
      </c>
      <c r="N5" s="449">
        <f ca="1">tertiair!N16</f>
        <v>413.36833793672054</v>
      </c>
      <c r="O5" s="449">
        <f>tertiair!O16</f>
        <v>1.5633333333333335</v>
      </c>
      <c r="P5" s="450">
        <f>tertiair!P16</f>
        <v>171.6</v>
      </c>
      <c r="Q5" s="448">
        <f t="shared" ref="Q5:Q14" ca="1" si="0">SUM(B5:P5)</f>
        <v>30146.365346171857</v>
      </c>
    </row>
    <row r="6" spans="1:17">
      <c r="A6" s="448" t="s">
        <v>193</v>
      </c>
      <c r="B6" s="449">
        <f>'openbare verlichting'!B8</f>
        <v>1208.0119999999999</v>
      </c>
      <c r="C6" s="449"/>
      <c r="D6" s="449"/>
      <c r="E6" s="449"/>
      <c r="F6" s="449"/>
      <c r="G6" s="449"/>
      <c r="H6" s="449"/>
      <c r="I6" s="449"/>
      <c r="J6" s="449"/>
      <c r="K6" s="449"/>
      <c r="L6" s="449"/>
      <c r="M6" s="449"/>
      <c r="N6" s="449"/>
      <c r="O6" s="449"/>
      <c r="P6" s="450"/>
      <c r="Q6" s="448">
        <f t="shared" si="0"/>
        <v>1208.0119999999999</v>
      </c>
    </row>
    <row r="7" spans="1:17">
      <c r="A7" s="448" t="s">
        <v>111</v>
      </c>
      <c r="B7" s="449">
        <f>landbouw!B8</f>
        <v>115.77760668970801</v>
      </c>
      <c r="C7" s="449">
        <f>landbouw!C8</f>
        <v>0</v>
      </c>
      <c r="D7" s="449">
        <f>landbouw!D8</f>
        <v>35.259865446899937</v>
      </c>
      <c r="E7" s="449">
        <f>landbouw!E8</f>
        <v>1.2124481620843326</v>
      </c>
      <c r="F7" s="449">
        <f>landbouw!F8</f>
        <v>495.61612892953906</v>
      </c>
      <c r="G7" s="449">
        <f>landbouw!G8</f>
        <v>0</v>
      </c>
      <c r="H7" s="449">
        <f>landbouw!H8</f>
        <v>0</v>
      </c>
      <c r="I7" s="449">
        <f>landbouw!I8</f>
        <v>0</v>
      </c>
      <c r="J7" s="449">
        <f>landbouw!J8</f>
        <v>10.339978009783046</v>
      </c>
      <c r="K7" s="449">
        <f>landbouw!K8</f>
        <v>0</v>
      </c>
      <c r="L7" s="449">
        <f>landbouw!L8</f>
        <v>0</v>
      </c>
      <c r="M7" s="449">
        <f>landbouw!M8</f>
        <v>0</v>
      </c>
      <c r="N7" s="449">
        <f>landbouw!N8</f>
        <v>0</v>
      </c>
      <c r="O7" s="449">
        <f>landbouw!O8</f>
        <v>0</v>
      </c>
      <c r="P7" s="450">
        <f>landbouw!P8</f>
        <v>0</v>
      </c>
      <c r="Q7" s="448">
        <f t="shared" si="0"/>
        <v>658.20602723801437</v>
      </c>
    </row>
    <row r="8" spans="1:17">
      <c r="A8" s="448" t="s">
        <v>643</v>
      </c>
      <c r="B8" s="449">
        <f>industrie!B18</f>
        <v>22311.476355019804</v>
      </c>
      <c r="C8" s="449">
        <f>industrie!C18</f>
        <v>0</v>
      </c>
      <c r="D8" s="449">
        <f>industrie!D18</f>
        <v>112525.74976997433</v>
      </c>
      <c r="E8" s="449">
        <f>industrie!E18</f>
        <v>211.49112701674559</v>
      </c>
      <c r="F8" s="449">
        <f>industrie!F18</f>
        <v>5203.2166054104073</v>
      </c>
      <c r="G8" s="449">
        <f>industrie!G18</f>
        <v>0</v>
      </c>
      <c r="H8" s="449">
        <f>industrie!H18</f>
        <v>0</v>
      </c>
      <c r="I8" s="449">
        <f>industrie!I18</f>
        <v>0</v>
      </c>
      <c r="J8" s="449">
        <f>industrie!J18</f>
        <v>148.64437543726947</v>
      </c>
      <c r="K8" s="449">
        <f>industrie!K18</f>
        <v>0</v>
      </c>
      <c r="L8" s="449">
        <f>industrie!L18</f>
        <v>0</v>
      </c>
      <c r="M8" s="449">
        <f>industrie!M18</f>
        <v>0</v>
      </c>
      <c r="N8" s="449">
        <f>industrie!N18</f>
        <v>469.30847243903736</v>
      </c>
      <c r="O8" s="449">
        <f>industrie!O18</f>
        <v>0</v>
      </c>
      <c r="P8" s="450">
        <f>industrie!P18</f>
        <v>0</v>
      </c>
      <c r="Q8" s="448">
        <f t="shared" si="0"/>
        <v>140869.8867052976</v>
      </c>
    </row>
    <row r="9" spans="1:17" s="454" customFormat="1">
      <c r="A9" s="452" t="s">
        <v>562</v>
      </c>
      <c r="B9" s="453">
        <f>transport!B14</f>
        <v>0.61258134031730671</v>
      </c>
      <c r="C9" s="453">
        <f>transport!C14</f>
        <v>0</v>
      </c>
      <c r="D9" s="453">
        <f>transport!D14</f>
        <v>2.501383317282786</v>
      </c>
      <c r="E9" s="453">
        <f>transport!E14</f>
        <v>256.52767490015134</v>
      </c>
      <c r="F9" s="453">
        <f>transport!F14</f>
        <v>0</v>
      </c>
      <c r="G9" s="453">
        <f>transport!G14</f>
        <v>40229.267182643081</v>
      </c>
      <c r="H9" s="453">
        <f>transport!H14</f>
        <v>8101.0632778553709</v>
      </c>
      <c r="I9" s="453">
        <f>transport!I14</f>
        <v>0</v>
      </c>
      <c r="J9" s="453">
        <f>transport!J14</f>
        <v>0</v>
      </c>
      <c r="K9" s="453">
        <f>transport!K14</f>
        <v>0</v>
      </c>
      <c r="L9" s="453">
        <f>transport!L14</f>
        <v>0</v>
      </c>
      <c r="M9" s="453">
        <f>transport!M14</f>
        <v>2105.8957129838677</v>
      </c>
      <c r="N9" s="453">
        <f>transport!N14</f>
        <v>0</v>
      </c>
      <c r="O9" s="453">
        <f>transport!O14</f>
        <v>0</v>
      </c>
      <c r="P9" s="453">
        <f>transport!P14</f>
        <v>0</v>
      </c>
      <c r="Q9" s="452">
        <f>SUM(B9:P9)</f>
        <v>50695.867813040073</v>
      </c>
    </row>
    <row r="10" spans="1:17">
      <c r="A10" s="448" t="s">
        <v>552</v>
      </c>
      <c r="B10" s="449">
        <f>transport!B54</f>
        <v>4.5671209334804832</v>
      </c>
      <c r="C10" s="449">
        <f>transport!C54</f>
        <v>0</v>
      </c>
      <c r="D10" s="449">
        <f>transport!D54</f>
        <v>0</v>
      </c>
      <c r="E10" s="449">
        <f>transport!E54</f>
        <v>0</v>
      </c>
      <c r="F10" s="449">
        <f>transport!F54</f>
        <v>0</v>
      </c>
      <c r="G10" s="449">
        <f>transport!G54</f>
        <v>990.79103327133214</v>
      </c>
      <c r="H10" s="449">
        <f>transport!H54</f>
        <v>0</v>
      </c>
      <c r="I10" s="449">
        <f>transport!I54</f>
        <v>0</v>
      </c>
      <c r="J10" s="449">
        <f>transport!J54</f>
        <v>0</v>
      </c>
      <c r="K10" s="449">
        <f>transport!K54</f>
        <v>0</v>
      </c>
      <c r="L10" s="449">
        <f>transport!L54</f>
        <v>0</v>
      </c>
      <c r="M10" s="449">
        <f>transport!M54</f>
        <v>42.421866169585201</v>
      </c>
      <c r="N10" s="449">
        <f>transport!N54</f>
        <v>0</v>
      </c>
      <c r="O10" s="449">
        <f>transport!O54</f>
        <v>0</v>
      </c>
      <c r="P10" s="450">
        <f>transport!P54</f>
        <v>0</v>
      </c>
      <c r="Q10" s="448">
        <f t="shared" si="0"/>
        <v>1037.7800203743977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1339.22618855563</v>
      </c>
      <c r="C14" s="456"/>
      <c r="D14" s="456">
        <f>'SEAP template'!E25</f>
        <v>2508.5314466681498</v>
      </c>
      <c r="E14" s="456"/>
      <c r="F14" s="456"/>
      <c r="G14" s="456"/>
      <c r="H14" s="456"/>
      <c r="I14" s="456"/>
      <c r="J14" s="456"/>
      <c r="K14" s="456"/>
      <c r="L14" s="456"/>
      <c r="M14" s="456"/>
      <c r="N14" s="456"/>
      <c r="O14" s="456"/>
      <c r="P14" s="457"/>
      <c r="Q14" s="448">
        <f t="shared" si="0"/>
        <v>3847.7576352237797</v>
      </c>
    </row>
    <row r="15" spans="1:17" s="461" customFormat="1">
      <c r="A15" s="458" t="s">
        <v>556</v>
      </c>
      <c r="B15" s="459">
        <f ca="1">SUM(B4:B14)</f>
        <v>73815.758476453557</v>
      </c>
      <c r="C15" s="459">
        <f t="shared" ref="C15:Q15" ca="1" si="1">SUM(C4:C14)</f>
        <v>0</v>
      </c>
      <c r="D15" s="459">
        <f t="shared" ca="1" si="1"/>
        <v>195227.28997370359</v>
      </c>
      <c r="E15" s="459">
        <f t="shared" si="1"/>
        <v>2363.3242942037004</v>
      </c>
      <c r="F15" s="459">
        <f t="shared" ca="1" si="1"/>
        <v>65189.818517739739</v>
      </c>
      <c r="G15" s="459">
        <f t="shared" si="1"/>
        <v>41220.058215914411</v>
      </c>
      <c r="H15" s="459">
        <f t="shared" si="1"/>
        <v>8101.0632778553709</v>
      </c>
      <c r="I15" s="459">
        <f t="shared" si="1"/>
        <v>0</v>
      </c>
      <c r="J15" s="459">
        <f t="shared" si="1"/>
        <v>1434.7976894987166</v>
      </c>
      <c r="K15" s="459">
        <f t="shared" si="1"/>
        <v>0</v>
      </c>
      <c r="L15" s="459">
        <f t="shared" ca="1" si="1"/>
        <v>0</v>
      </c>
      <c r="M15" s="459">
        <f t="shared" si="1"/>
        <v>2148.3175791534532</v>
      </c>
      <c r="N15" s="459">
        <f t="shared" ca="1" si="1"/>
        <v>10417.843732397216</v>
      </c>
      <c r="O15" s="459">
        <f t="shared" si="1"/>
        <v>56.28</v>
      </c>
      <c r="P15" s="459">
        <f t="shared" si="1"/>
        <v>362.26666666666665</v>
      </c>
      <c r="Q15" s="459">
        <f t="shared" ca="1" si="1"/>
        <v>400336.81842358643</v>
      </c>
    </row>
    <row r="17" spans="1:17">
      <c r="A17" s="462" t="s">
        <v>557</v>
      </c>
      <c r="B17" s="766">
        <f ca="1">huishoudens!B10</f>
        <v>0.2155234298636054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7510.8466610796922</v>
      </c>
      <c r="C22" s="449">
        <f t="shared" ref="C22:C32" ca="1" si="3">C4*$C$17</f>
        <v>0</v>
      </c>
      <c r="D22" s="449">
        <f t="shared" ref="D22:D32" si="4">D4*$D$17</f>
        <v>13665.005176588631</v>
      </c>
      <c r="E22" s="449">
        <f t="shared" ref="E22:E32" si="5">E4*$E$17</f>
        <v>376.79166387668363</v>
      </c>
      <c r="F22" s="449">
        <f t="shared" ref="F22:F32" si="6">F4*$F$17</f>
        <v>15127.909161633979</v>
      </c>
      <c r="G22" s="449">
        <f t="shared" ref="G22:G32" si="7">G4*$G$17</f>
        <v>0</v>
      </c>
      <c r="H22" s="449">
        <f t="shared" ref="H22:H32" si="8">H4*$H$17</f>
        <v>0</v>
      </c>
      <c r="I22" s="449">
        <f t="shared" ref="I22:I32" si="9">I4*$I$17</f>
        <v>0</v>
      </c>
      <c r="J22" s="449">
        <f t="shared" ref="J22:J32" si="10">J4*$J$17</f>
        <v>451.63792096228912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37132.190584141274</v>
      </c>
    </row>
    <row r="23" spans="1:17">
      <c r="A23" s="448" t="s">
        <v>155</v>
      </c>
      <c r="B23" s="449">
        <f t="shared" ca="1" si="2"/>
        <v>3014.4742292225251</v>
      </c>
      <c r="C23" s="449">
        <f t="shared" ca="1" si="3"/>
        <v>0</v>
      </c>
      <c r="D23" s="449">
        <f t="shared" ca="1" si="4"/>
        <v>2526.3548200873502</v>
      </c>
      <c r="E23" s="449">
        <f t="shared" si="5"/>
        <v>53.167457139627643</v>
      </c>
      <c r="F23" s="449">
        <f t="shared" ca="1" si="6"/>
        <v>756.18404253376536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6350.1805489832686</v>
      </c>
    </row>
    <row r="24" spans="1:17">
      <c r="A24" s="448" t="s">
        <v>193</v>
      </c>
      <c r="B24" s="449">
        <f t="shared" ca="1" si="2"/>
        <v>260.35488955639369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260.35488955639369</v>
      </c>
    </row>
    <row r="25" spans="1:17">
      <c r="A25" s="448" t="s">
        <v>111</v>
      </c>
      <c r="B25" s="449">
        <f t="shared" ca="1" si="2"/>
        <v>24.952786895165374</v>
      </c>
      <c r="C25" s="449">
        <f t="shared" ca="1" si="3"/>
        <v>0</v>
      </c>
      <c r="D25" s="449">
        <f t="shared" si="4"/>
        <v>7.1224928202737878</v>
      </c>
      <c r="E25" s="449">
        <f t="shared" si="5"/>
        <v>0.2752257327931435</v>
      </c>
      <c r="F25" s="449">
        <f t="shared" si="6"/>
        <v>132.32950642418695</v>
      </c>
      <c r="G25" s="449">
        <f t="shared" si="7"/>
        <v>0</v>
      </c>
      <c r="H25" s="449">
        <f t="shared" si="8"/>
        <v>0</v>
      </c>
      <c r="I25" s="449">
        <f t="shared" si="9"/>
        <v>0</v>
      </c>
      <c r="J25" s="449">
        <f t="shared" si="10"/>
        <v>3.660352215463198</v>
      </c>
      <c r="K25" s="449">
        <f t="shared" si="11"/>
        <v>0</v>
      </c>
      <c r="L25" s="449">
        <f t="shared" si="12"/>
        <v>0</v>
      </c>
      <c r="M25" s="449">
        <f t="shared" si="13"/>
        <v>0</v>
      </c>
      <c r="N25" s="449">
        <f t="shared" si="14"/>
        <v>0</v>
      </c>
      <c r="O25" s="449">
        <f t="shared" si="15"/>
        <v>0</v>
      </c>
      <c r="P25" s="450">
        <f t="shared" si="16"/>
        <v>0</v>
      </c>
      <c r="Q25" s="448">
        <f t="shared" ca="1" si="17"/>
        <v>168.34036408788245</v>
      </c>
    </row>
    <row r="26" spans="1:17">
      <c r="A26" s="448" t="s">
        <v>643</v>
      </c>
      <c r="B26" s="449">
        <f t="shared" ca="1" si="2"/>
        <v>4808.6459093546009</v>
      </c>
      <c r="C26" s="449">
        <f t="shared" ca="1" si="3"/>
        <v>0</v>
      </c>
      <c r="D26" s="449">
        <f t="shared" si="4"/>
        <v>22730.201453534813</v>
      </c>
      <c r="E26" s="449">
        <f t="shared" si="5"/>
        <v>48.008485832801249</v>
      </c>
      <c r="F26" s="449">
        <f t="shared" si="6"/>
        <v>1389.2588336445788</v>
      </c>
      <c r="G26" s="449">
        <f t="shared" si="7"/>
        <v>0</v>
      </c>
      <c r="H26" s="449">
        <f t="shared" si="8"/>
        <v>0</v>
      </c>
      <c r="I26" s="449">
        <f t="shared" si="9"/>
        <v>0</v>
      </c>
      <c r="J26" s="449">
        <f t="shared" si="10"/>
        <v>52.620108904793391</v>
      </c>
      <c r="K26" s="449">
        <f t="shared" si="11"/>
        <v>0</v>
      </c>
      <c r="L26" s="449">
        <f t="shared" si="12"/>
        <v>0</v>
      </c>
      <c r="M26" s="449">
        <f t="shared" si="13"/>
        <v>0</v>
      </c>
      <c r="N26" s="449">
        <f t="shared" si="14"/>
        <v>0</v>
      </c>
      <c r="O26" s="449">
        <f t="shared" si="15"/>
        <v>0</v>
      </c>
      <c r="P26" s="450">
        <f t="shared" si="16"/>
        <v>0</v>
      </c>
      <c r="Q26" s="448">
        <f t="shared" ca="1" si="17"/>
        <v>29028.734791271589</v>
      </c>
    </row>
    <row r="27" spans="1:17" s="454" customFormat="1">
      <c r="A27" s="452" t="s">
        <v>562</v>
      </c>
      <c r="B27" s="760">
        <f t="shared" ca="1" si="2"/>
        <v>0.13202563153563043</v>
      </c>
      <c r="C27" s="453">
        <f t="shared" ca="1" si="3"/>
        <v>0</v>
      </c>
      <c r="D27" s="453">
        <f t="shared" si="4"/>
        <v>0.50527943009112275</v>
      </c>
      <c r="E27" s="453">
        <f t="shared" si="5"/>
        <v>58.231782202334358</v>
      </c>
      <c r="F27" s="453">
        <f t="shared" si="6"/>
        <v>0</v>
      </c>
      <c r="G27" s="453">
        <f t="shared" si="7"/>
        <v>10741.214337765703</v>
      </c>
      <c r="H27" s="453">
        <f t="shared" si="8"/>
        <v>2017.1647561859872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12817.248181215651</v>
      </c>
    </row>
    <row r="28" spans="1:17">
      <c r="A28" s="448" t="s">
        <v>552</v>
      </c>
      <c r="B28" s="449">
        <f t="shared" ca="1" si="2"/>
        <v>0.98432156818558492</v>
      </c>
      <c r="C28" s="449">
        <f t="shared" ca="1" si="3"/>
        <v>0</v>
      </c>
      <c r="D28" s="449">
        <f t="shared" si="4"/>
        <v>0</v>
      </c>
      <c r="E28" s="449">
        <f t="shared" si="5"/>
        <v>0</v>
      </c>
      <c r="F28" s="449">
        <f t="shared" si="6"/>
        <v>0</v>
      </c>
      <c r="G28" s="449">
        <f t="shared" si="7"/>
        <v>264.54120588344568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265.52552745163126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288.63462152067291</v>
      </c>
      <c r="C32" s="449">
        <f t="shared" ca="1" si="3"/>
        <v>0</v>
      </c>
      <c r="D32" s="449">
        <f t="shared" si="4"/>
        <v>506.72335222696631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795.35797374763922</v>
      </c>
    </row>
    <row r="33" spans="1:17" s="461" customFormat="1">
      <c r="A33" s="458" t="s">
        <v>556</v>
      </c>
      <c r="B33" s="459">
        <f ca="1">SUM(B22:B32)</f>
        <v>15909.025444828771</v>
      </c>
      <c r="C33" s="459">
        <f t="shared" ref="C33:Q33" ca="1" si="19">SUM(C22:C32)</f>
        <v>0</v>
      </c>
      <c r="D33" s="459">
        <f t="shared" ca="1" si="19"/>
        <v>39435.912574688125</v>
      </c>
      <c r="E33" s="459">
        <f t="shared" si="19"/>
        <v>536.47461478423998</v>
      </c>
      <c r="F33" s="459">
        <f t="shared" ca="1" si="19"/>
        <v>17405.681544236511</v>
      </c>
      <c r="G33" s="459">
        <f t="shared" si="19"/>
        <v>11005.755543649149</v>
      </c>
      <c r="H33" s="459">
        <f t="shared" si="19"/>
        <v>2017.1647561859872</v>
      </c>
      <c r="I33" s="459">
        <f t="shared" si="19"/>
        <v>0</v>
      </c>
      <c r="J33" s="459">
        <f t="shared" si="19"/>
        <v>507.91838208254569</v>
      </c>
      <c r="K33" s="459">
        <f t="shared" si="19"/>
        <v>0</v>
      </c>
      <c r="L33" s="459">
        <f t="shared" ca="1" si="19"/>
        <v>0</v>
      </c>
      <c r="M33" s="459">
        <f t="shared" si="19"/>
        <v>0</v>
      </c>
      <c r="N33" s="459">
        <f t="shared" ca="1" si="19"/>
        <v>0</v>
      </c>
      <c r="O33" s="459">
        <f t="shared" si="19"/>
        <v>0</v>
      </c>
      <c r="P33" s="459">
        <f t="shared" si="19"/>
        <v>0</v>
      </c>
      <c r="Q33" s="459">
        <f t="shared" ca="1" si="19"/>
        <v>86817.93286045533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1829.2180021152133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1829.2180021152133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0.2155234298636054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0.2155234298636054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1</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19.066666666666666</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0.2155234298636054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0.2155234298636054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7854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393</v>
      </c>
      <c r="C14" s="326"/>
      <c r="D14" s="326"/>
      <c r="E14" s="326"/>
      <c r="F14" s="326"/>
    </row>
    <row r="15" spans="1:6">
      <c r="A15" s="1282" t="s">
        <v>183</v>
      </c>
      <c r="B15" s="1283">
        <v>2</v>
      </c>
      <c r="C15" s="326"/>
      <c r="D15" s="326"/>
      <c r="E15" s="326"/>
      <c r="F15" s="326"/>
    </row>
    <row r="16" spans="1:6">
      <c r="A16" s="1282" t="s">
        <v>6</v>
      </c>
      <c r="B16" s="1283">
        <v>108</v>
      </c>
      <c r="C16" s="326"/>
      <c r="D16" s="326"/>
      <c r="E16" s="326"/>
      <c r="F16" s="326"/>
    </row>
    <row r="17" spans="1:6">
      <c r="A17" s="1282" t="s">
        <v>7</v>
      </c>
      <c r="B17" s="1283">
        <v>66</v>
      </c>
      <c r="C17" s="326"/>
      <c r="D17" s="326"/>
      <c r="E17" s="326"/>
      <c r="F17" s="326"/>
    </row>
    <row r="18" spans="1:6">
      <c r="A18" s="1282" t="s">
        <v>8</v>
      </c>
      <c r="B18" s="1283">
        <v>129</v>
      </c>
      <c r="C18" s="326"/>
      <c r="D18" s="326"/>
      <c r="E18" s="326"/>
      <c r="F18" s="326"/>
    </row>
    <row r="19" spans="1:6">
      <c r="A19" s="1282" t="s">
        <v>9</v>
      </c>
      <c r="B19" s="1283">
        <v>131</v>
      </c>
      <c r="C19" s="326"/>
      <c r="D19" s="326"/>
      <c r="E19" s="326"/>
      <c r="F19" s="326"/>
    </row>
    <row r="20" spans="1:6">
      <c r="A20" s="1282" t="s">
        <v>10</v>
      </c>
      <c r="B20" s="1283">
        <v>77</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53</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13</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345017.63396763499</v>
      </c>
      <c r="E38" s="1283">
        <v>1</v>
      </c>
      <c r="F38" s="1283">
        <v>4019.3980273888001</v>
      </c>
    </row>
    <row r="39" spans="1:6">
      <c r="A39" s="1282" t="s">
        <v>29</v>
      </c>
      <c r="B39" s="1282" t="s">
        <v>30</v>
      </c>
      <c r="C39" s="1283">
        <v>4637</v>
      </c>
      <c r="D39" s="1283">
        <v>74998381.904835403</v>
      </c>
      <c r="E39" s="1283">
        <v>7939</v>
      </c>
      <c r="F39" s="1283">
        <v>33433045.398372501</v>
      </c>
    </row>
    <row r="40" spans="1:6">
      <c r="A40" s="1282" t="s">
        <v>29</v>
      </c>
      <c r="B40" s="1282" t="s">
        <v>28</v>
      </c>
      <c r="C40" s="1283">
        <v>0</v>
      </c>
      <c r="D40" s="1283">
        <v>0</v>
      </c>
      <c r="E40" s="1283">
        <v>0</v>
      </c>
      <c r="F40" s="1283">
        <v>0</v>
      </c>
    </row>
    <row r="41" spans="1:6">
      <c r="A41" s="1282" t="s">
        <v>31</v>
      </c>
      <c r="B41" s="1282" t="s">
        <v>32</v>
      </c>
      <c r="C41" s="1283">
        <v>12</v>
      </c>
      <c r="D41" s="1283">
        <v>304689.910314109</v>
      </c>
      <c r="E41" s="1283">
        <v>84</v>
      </c>
      <c r="F41" s="1283">
        <v>1405304.3788255299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646805.79362850799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5</v>
      </c>
      <c r="F47" s="1283">
        <v>25028.132604085898</v>
      </c>
    </row>
    <row r="48" spans="1:6">
      <c r="A48" s="1282" t="s">
        <v>31</v>
      </c>
      <c r="B48" s="1282" t="s">
        <v>28</v>
      </c>
      <c r="C48" s="1283">
        <v>46</v>
      </c>
      <c r="D48" s="1283">
        <v>123961381.28539436</v>
      </c>
      <c r="E48" s="1283">
        <v>55</v>
      </c>
      <c r="F48" s="1283">
        <v>19841867.317214798</v>
      </c>
    </row>
    <row r="49" spans="1:6">
      <c r="A49" s="1282" t="s">
        <v>31</v>
      </c>
      <c r="B49" s="1282" t="s">
        <v>39</v>
      </c>
      <c r="C49" s="1283">
        <v>0</v>
      </c>
      <c r="D49" s="1283">
        <v>0</v>
      </c>
      <c r="E49" s="1283">
        <v>3</v>
      </c>
      <c r="F49" s="1283">
        <v>11193.3260756704</v>
      </c>
    </row>
    <row r="50" spans="1:6">
      <c r="A50" s="1282" t="s">
        <v>31</v>
      </c>
      <c r="B50" s="1282" t="s">
        <v>40</v>
      </c>
      <c r="C50" s="1283">
        <v>8</v>
      </c>
      <c r="D50" s="1283">
        <v>485314.35858680098</v>
      </c>
      <c r="E50" s="1283">
        <v>13</v>
      </c>
      <c r="F50" s="1283">
        <v>381277.40667121398</v>
      </c>
    </row>
    <row r="51" spans="1:6">
      <c r="A51" s="1282" t="s">
        <v>41</v>
      </c>
      <c r="B51" s="1282" t="s">
        <v>42</v>
      </c>
      <c r="C51" s="1283">
        <v>0</v>
      </c>
      <c r="D51" s="1283">
        <v>0</v>
      </c>
      <c r="E51" s="1283">
        <v>0</v>
      </c>
      <c r="F51" s="1283">
        <v>0</v>
      </c>
    </row>
    <row r="52" spans="1:6">
      <c r="A52" s="1282" t="s">
        <v>41</v>
      </c>
      <c r="B52" s="1282" t="s">
        <v>28</v>
      </c>
      <c r="C52" s="1283">
        <v>3</v>
      </c>
      <c r="D52" s="1283">
        <v>39090.759918957803</v>
      </c>
      <c r="E52" s="1283">
        <v>10</v>
      </c>
      <c r="F52" s="1283">
        <v>115777.606689708</v>
      </c>
    </row>
    <row r="53" spans="1:6">
      <c r="A53" s="1282" t="s">
        <v>43</v>
      </c>
      <c r="B53" s="1282" t="s">
        <v>44</v>
      </c>
      <c r="C53" s="1283">
        <v>134</v>
      </c>
      <c r="D53" s="1283">
        <v>2508531.4466681499</v>
      </c>
      <c r="E53" s="1283">
        <v>267</v>
      </c>
      <c r="F53" s="1283">
        <v>1339226.1885556299</v>
      </c>
    </row>
    <row r="54" spans="1:6">
      <c r="A54" s="1282" t="s">
        <v>45</v>
      </c>
      <c r="B54" s="1282" t="s">
        <v>46</v>
      </c>
      <c r="C54" s="1283">
        <v>0</v>
      </c>
      <c r="D54" s="1283">
        <v>0</v>
      </c>
      <c r="E54" s="1283">
        <v>1</v>
      </c>
      <c r="F54" s="1283">
        <v>1208012</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12</v>
      </c>
      <c r="D57" s="1283">
        <v>397775.84467472701</v>
      </c>
      <c r="E57" s="1283">
        <v>87</v>
      </c>
      <c r="F57" s="1283">
        <v>1232740.0408711501</v>
      </c>
    </row>
    <row r="58" spans="1:6">
      <c r="A58" s="1282" t="s">
        <v>48</v>
      </c>
      <c r="B58" s="1282" t="s">
        <v>50</v>
      </c>
      <c r="C58" s="1283">
        <v>9</v>
      </c>
      <c r="D58" s="1283">
        <v>344676.353445174</v>
      </c>
      <c r="E58" s="1283">
        <v>12</v>
      </c>
      <c r="F58" s="1283">
        <v>468548.86359023798</v>
      </c>
    </row>
    <row r="59" spans="1:6">
      <c r="A59" s="1282" t="s">
        <v>48</v>
      </c>
      <c r="B59" s="1282" t="s">
        <v>51</v>
      </c>
      <c r="C59" s="1283">
        <v>32</v>
      </c>
      <c r="D59" s="1283">
        <v>1361113.2370188001</v>
      </c>
      <c r="E59" s="1283">
        <v>112</v>
      </c>
      <c r="F59" s="1283">
        <v>5120321.1590243699</v>
      </c>
    </row>
    <row r="60" spans="1:6">
      <c r="A60" s="1282" t="s">
        <v>48</v>
      </c>
      <c r="B60" s="1282" t="s">
        <v>52</v>
      </c>
      <c r="C60" s="1283">
        <v>38</v>
      </c>
      <c r="D60" s="1283">
        <v>1172341.3082810999</v>
      </c>
      <c r="E60" s="1283">
        <v>52</v>
      </c>
      <c r="F60" s="1283">
        <v>906648.96424150805</v>
      </c>
    </row>
    <row r="61" spans="1:6">
      <c r="A61" s="1282" t="s">
        <v>48</v>
      </c>
      <c r="B61" s="1282" t="s">
        <v>53</v>
      </c>
      <c r="C61" s="1283">
        <v>51</v>
      </c>
      <c r="D61" s="1283">
        <v>2935424.5559904901</v>
      </c>
      <c r="E61" s="1283">
        <v>156</v>
      </c>
      <c r="F61" s="1283">
        <v>1956216.6213623099</v>
      </c>
    </row>
    <row r="62" spans="1:6">
      <c r="A62" s="1282" t="s">
        <v>48</v>
      </c>
      <c r="B62" s="1282" t="s">
        <v>54</v>
      </c>
      <c r="C62" s="1283">
        <v>10</v>
      </c>
      <c r="D62" s="1283">
        <v>2619861.6197349401</v>
      </c>
      <c r="E62" s="1283">
        <v>9</v>
      </c>
      <c r="F62" s="1283">
        <v>564273.16808076098</v>
      </c>
    </row>
    <row r="63" spans="1:6">
      <c r="A63" s="1282" t="s">
        <v>48</v>
      </c>
      <c r="B63" s="1282" t="s">
        <v>28</v>
      </c>
      <c r="C63" s="1283">
        <v>123</v>
      </c>
      <c r="D63" s="1283">
        <v>5034335.9390980005</v>
      </c>
      <c r="E63" s="1283">
        <v>178</v>
      </c>
      <c r="F63" s="1283">
        <v>3738009.9826977002</v>
      </c>
    </row>
    <row r="64" spans="1:6">
      <c r="A64" s="1282" t="s">
        <v>55</v>
      </c>
      <c r="B64" s="1282" t="s">
        <v>56</v>
      </c>
      <c r="C64" s="1283">
        <v>0</v>
      </c>
      <c r="D64" s="1283">
        <v>0</v>
      </c>
      <c r="E64" s="1283">
        <v>0</v>
      </c>
      <c r="F64" s="1283">
        <v>0</v>
      </c>
    </row>
    <row r="65" spans="1:6">
      <c r="A65" s="1282" t="s">
        <v>55</v>
      </c>
      <c r="B65" s="1282" t="s">
        <v>28</v>
      </c>
      <c r="C65" s="1283">
        <v>4</v>
      </c>
      <c r="D65" s="1283">
        <v>92839.783364703704</v>
      </c>
      <c r="E65" s="1283">
        <v>5</v>
      </c>
      <c r="F65" s="1283">
        <v>19978.815346684602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24531163</v>
      </c>
      <c r="E73" s="447"/>
      <c r="F73" s="326"/>
    </row>
    <row r="74" spans="1:6">
      <c r="A74" s="1282" t="s">
        <v>63</v>
      </c>
      <c r="B74" s="1282" t="s">
        <v>760</v>
      </c>
      <c r="C74" s="1296" t="s">
        <v>761</v>
      </c>
      <c r="D74" s="1297">
        <v>1405320.129085951</v>
      </c>
      <c r="E74" s="447"/>
      <c r="F74" s="326"/>
    </row>
    <row r="75" spans="1:6">
      <c r="A75" s="1282" t="s">
        <v>64</v>
      </c>
      <c r="B75" s="1282" t="s">
        <v>758</v>
      </c>
      <c r="C75" s="1296" t="s">
        <v>762</v>
      </c>
      <c r="D75" s="1297">
        <v>26208066</v>
      </c>
      <c r="E75" s="447"/>
      <c r="F75" s="326"/>
    </row>
    <row r="76" spans="1:6">
      <c r="A76" s="1282" t="s">
        <v>64</v>
      </c>
      <c r="B76" s="1282" t="s">
        <v>760</v>
      </c>
      <c r="C76" s="1296" t="s">
        <v>763</v>
      </c>
      <c r="D76" s="1297">
        <v>513176.12908595102</v>
      </c>
      <c r="E76" s="447"/>
      <c r="F76" s="326"/>
    </row>
    <row r="77" spans="1:6">
      <c r="A77" s="1282" t="s">
        <v>65</v>
      </c>
      <c r="B77" s="1282" t="s">
        <v>758</v>
      </c>
      <c r="C77" s="1296" t="s">
        <v>764</v>
      </c>
      <c r="D77" s="1297">
        <v>5853481</v>
      </c>
      <c r="E77" s="447"/>
      <c r="F77" s="326"/>
    </row>
    <row r="78" spans="1:6">
      <c r="A78" s="1277" t="s">
        <v>65</v>
      </c>
      <c r="B78" s="1277" t="s">
        <v>760</v>
      </c>
      <c r="C78" s="1277" t="s">
        <v>765</v>
      </c>
      <c r="D78" s="1298">
        <v>711151</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271745.74182809796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1416.2824256740626</v>
      </c>
      <c r="C91" s="326"/>
      <c r="D91" s="326"/>
      <c r="E91" s="326"/>
      <c r="F91" s="326"/>
    </row>
    <row r="92" spans="1:6">
      <c r="A92" s="1277" t="s">
        <v>68</v>
      </c>
      <c r="B92" s="1278">
        <v>412.93557644115072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2673</v>
      </c>
      <c r="C97" s="326"/>
      <c r="D97" s="326"/>
      <c r="E97" s="326"/>
      <c r="F97" s="326"/>
    </row>
    <row r="98" spans="1:6">
      <c r="A98" s="1282" t="s">
        <v>71</v>
      </c>
      <c r="B98" s="1283">
        <v>0</v>
      </c>
      <c r="C98" s="326"/>
      <c r="D98" s="326"/>
      <c r="E98" s="326"/>
      <c r="F98" s="326"/>
    </row>
    <row r="99" spans="1:6">
      <c r="A99" s="1282" t="s">
        <v>72</v>
      </c>
      <c r="B99" s="1283">
        <v>112</v>
      </c>
      <c r="C99" s="326"/>
      <c r="D99" s="326"/>
      <c r="E99" s="326"/>
      <c r="F99" s="326"/>
    </row>
    <row r="100" spans="1:6">
      <c r="A100" s="1282" t="s">
        <v>73</v>
      </c>
      <c r="B100" s="1283">
        <v>655</v>
      </c>
      <c r="C100" s="326"/>
      <c r="D100" s="326"/>
      <c r="E100" s="326"/>
      <c r="F100" s="326"/>
    </row>
    <row r="101" spans="1:6">
      <c r="A101" s="1282" t="s">
        <v>74</v>
      </c>
      <c r="B101" s="1283">
        <v>40</v>
      </c>
      <c r="C101" s="326"/>
      <c r="D101" s="326"/>
      <c r="E101" s="326"/>
      <c r="F101" s="326"/>
    </row>
    <row r="102" spans="1:6">
      <c r="A102" s="1282" t="s">
        <v>75</v>
      </c>
      <c r="B102" s="1283">
        <v>98</v>
      </c>
      <c r="C102" s="326"/>
      <c r="D102" s="326"/>
      <c r="E102" s="326"/>
      <c r="F102" s="326"/>
    </row>
    <row r="103" spans="1:6">
      <c r="A103" s="1282" t="s">
        <v>76</v>
      </c>
      <c r="B103" s="1283">
        <v>226</v>
      </c>
      <c r="C103" s="326"/>
      <c r="D103" s="326"/>
      <c r="E103" s="326"/>
      <c r="F103" s="326"/>
    </row>
    <row r="104" spans="1:6">
      <c r="A104" s="1282" t="s">
        <v>77</v>
      </c>
      <c r="B104" s="1283">
        <v>2985</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1</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29</v>
      </c>
      <c r="C129" s="326"/>
      <c r="D129" s="326"/>
      <c r="E129" s="326"/>
      <c r="F129" s="326"/>
    </row>
    <row r="130" spans="1:6">
      <c r="A130" s="1282" t="s">
        <v>290</v>
      </c>
      <c r="B130" s="1283">
        <v>1</v>
      </c>
      <c r="C130" s="326"/>
      <c r="D130" s="326"/>
      <c r="E130" s="326"/>
      <c r="F130" s="326"/>
    </row>
    <row r="131" spans="1:6">
      <c r="A131" s="1282" t="s">
        <v>291</v>
      </c>
      <c r="B131" s="1283">
        <v>9</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73815.758476453557</v>
      </c>
      <c r="C3" s="43" t="s">
        <v>169</v>
      </c>
      <c r="D3" s="43"/>
      <c r="E3" s="156"/>
      <c r="F3" s="43"/>
      <c r="G3" s="43"/>
      <c r="H3" s="43"/>
      <c r="I3" s="43"/>
      <c r="J3" s="43"/>
      <c r="K3" s="96"/>
    </row>
    <row r="4" spans="1:11">
      <c r="A4" s="354" t="s">
        <v>170</v>
      </c>
      <c r="B4" s="49">
        <f>IF(ISERROR('SEAP template'!B78+'SEAP template'!C78),0,'SEAP template'!B78+'SEAP template'!C78)</f>
        <v>1829.2180021152133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0.2155234298636054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1208.0119999999999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1208.0119999999999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0.2155234298636054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260.35488955639369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33433.045398372502</v>
      </c>
      <c r="C5" s="17">
        <f>IF(ISERROR('Eigen informatie GS &amp; warmtenet'!B57),0,'Eigen informatie GS &amp; warmtenet'!B57)</f>
        <v>0</v>
      </c>
      <c r="D5" s="30">
        <f>(SUM(HH_hh_gas_kWh,HH_rest_gas_kWh)/1000)*0.902</f>
        <v>67648.540478161536</v>
      </c>
      <c r="E5" s="17">
        <f>B32*B41</f>
        <v>1659.8751712629235</v>
      </c>
      <c r="F5" s="17">
        <f>B36*B45</f>
        <v>56658.835811363213</v>
      </c>
      <c r="G5" s="18"/>
      <c r="H5" s="17"/>
      <c r="I5" s="17"/>
      <c r="J5" s="17">
        <f>B35*B44+C35*C44</f>
        <v>1275.8133360516642</v>
      </c>
      <c r="K5" s="17"/>
      <c r="L5" s="17"/>
      <c r="M5" s="17"/>
      <c r="N5" s="17">
        <f>B34*B43+C34*C43</f>
        <v>9535.1669220214571</v>
      </c>
      <c r="O5" s="17">
        <f>B52*B53*B54</f>
        <v>54.716666666666669</v>
      </c>
      <c r="P5" s="17">
        <f>B60*B61*B62/1000-B60*B61*B62/1000/B63</f>
        <v>190.66666666666669</v>
      </c>
    </row>
    <row r="6" spans="1:16">
      <c r="A6" s="16" t="s">
        <v>621</v>
      </c>
      <c r="B6" s="768">
        <f>kWh_PV_kleiner_dan_10kW</f>
        <v>1416.2824256740626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34849.327824046566</v>
      </c>
      <c r="C8" s="21">
        <f>C5</f>
        <v>0</v>
      </c>
      <c r="D8" s="21">
        <f>D5</f>
        <v>67648.540478161536</v>
      </c>
      <c r="E8" s="21">
        <f>E5</f>
        <v>1659.8751712629235</v>
      </c>
      <c r="F8" s="21">
        <f>F5</f>
        <v>56658.835811363213</v>
      </c>
      <c r="G8" s="21"/>
      <c r="H8" s="21"/>
      <c r="I8" s="21"/>
      <c r="J8" s="21">
        <f>J5</f>
        <v>1275.8133360516642</v>
      </c>
      <c r="K8" s="21"/>
      <c r="L8" s="21">
        <f>L5</f>
        <v>0</v>
      </c>
      <c r="M8" s="21">
        <f>M5</f>
        <v>0</v>
      </c>
      <c r="N8" s="21">
        <f>N5</f>
        <v>9535.1669220214571</v>
      </c>
      <c r="O8" s="21">
        <f>O5</f>
        <v>54.716666666666669</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0.2155234298636054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7510.8466610796922</v>
      </c>
      <c r="C12" s="23">
        <f ca="1">C10*C8</f>
        <v>0</v>
      </c>
      <c r="D12" s="23">
        <f>D8*D10</f>
        <v>13665.005176588631</v>
      </c>
      <c r="E12" s="23">
        <f>E10*E8</f>
        <v>376.79166387668363</v>
      </c>
      <c r="F12" s="23">
        <f>F10*F8</f>
        <v>15127.909161633979</v>
      </c>
      <c r="G12" s="23"/>
      <c r="H12" s="23"/>
      <c r="I12" s="23"/>
      <c r="J12" s="23">
        <f>J10*J8</f>
        <v>451.63792096228912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7854</v>
      </c>
      <c r="C26" s="36"/>
      <c r="D26" s="226"/>
    </row>
    <row r="27" spans="1:5" s="15" customFormat="1">
      <c r="A27" s="228" t="s">
        <v>701</v>
      </c>
      <c r="B27" s="37">
        <f>SUM(HH_hh_gas_aantal,HH_rest_gas_aantal)</f>
        <v>4637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4405.1499999999996</v>
      </c>
      <c r="C31" s="34" t="s">
        <v>110</v>
      </c>
      <c r="D31" s="172"/>
    </row>
    <row r="32" spans="1:5">
      <c r="A32" s="169" t="s">
        <v>72</v>
      </c>
      <c r="B32" s="33">
        <f>IF((B21*($B$26-($B$27-0.05*$B$27)-$B$60))&lt;0,0,B21*($B$26-($B$27-0.05*$B$27)-$B$60))</f>
        <v>24.379963156584441</v>
      </c>
      <c r="C32" s="34" t="s">
        <v>110</v>
      </c>
      <c r="D32" s="172"/>
    </row>
    <row r="33" spans="1:6">
      <c r="A33" s="169" t="s">
        <v>73</v>
      </c>
      <c r="B33" s="33">
        <f>IF((B22*($B$26-($B$27-0.05*$B$27)-$B$60))&lt;0,0,B22*($B$26-($B$27-0.05*$B$27)-$B$60))</f>
        <v>698.72642706592023</v>
      </c>
      <c r="C33" s="34" t="s">
        <v>110</v>
      </c>
      <c r="D33" s="172"/>
    </row>
    <row r="34" spans="1:6">
      <c r="A34" s="169" t="s">
        <v>74</v>
      </c>
      <c r="B34" s="33">
        <f>IF((B24*($B$26-($B$27-0.05*$B$27)-$B$60))&lt;0,0,B24*($B$26-($B$27-0.05*$B$27)-$B$60))</f>
        <v>139.33343392079215</v>
      </c>
      <c r="C34" s="33">
        <f>B26*C24</f>
        <v>1605.9671860894139</v>
      </c>
      <c r="D34" s="231"/>
    </row>
    <row r="35" spans="1:6">
      <c r="A35" s="169" t="s">
        <v>76</v>
      </c>
      <c r="B35" s="33">
        <f>IF((B19*($B$26-($B$27-0.05*$B$27)-$B$60))&lt;0,0,B19*($B$26-($B$27-0.05*$B$27)-$B$60))</f>
        <v>72.559414156501319</v>
      </c>
      <c r="C35" s="33">
        <f>B35/2</f>
        <v>36.279707078250659</v>
      </c>
      <c r="D35" s="231"/>
    </row>
    <row r="36" spans="1:6">
      <c r="A36" s="169" t="s">
        <v>77</v>
      </c>
      <c r="B36" s="33">
        <f>IF((B18*($B$26-($B$27-0.05*$B$27)-$B$60))&lt;0,0,B18*($B$26-($B$27-0.05*$B$27)-$B$60))</f>
        <v>2503.8507617002024</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13986.758799868039</v>
      </c>
      <c r="C5" s="17">
        <f>IF(ISERROR('Eigen informatie GS &amp; warmtenet'!B58),0,'Eigen informatie GS &amp; warmtenet'!B58)</f>
        <v>0</v>
      </c>
      <c r="D5" s="30">
        <f>SUM(D6:D12)</f>
        <v>12506.707030135396</v>
      </c>
      <c r="E5" s="17">
        <f>SUM(E6:E12)</f>
        <v>234.21787286179577</v>
      </c>
      <c r="F5" s="17">
        <f>SUM(F6:F12)</f>
        <v>2832.1499720365741</v>
      </c>
      <c r="G5" s="18"/>
      <c r="H5" s="17"/>
      <c r="I5" s="17"/>
      <c r="J5" s="17">
        <f>SUM(J6:J12)</f>
        <v>0</v>
      </c>
      <c r="K5" s="17"/>
      <c r="L5" s="17"/>
      <c r="M5" s="17"/>
      <c r="N5" s="17">
        <f>SUM(N6:N12)</f>
        <v>413.36833793672054</v>
      </c>
      <c r="O5" s="17">
        <f>B38*B39*B40</f>
        <v>1.5633333333333335</v>
      </c>
      <c r="P5" s="17">
        <f>B46*B47*B48/1000-B46*B47*B48/1000/B49</f>
        <v>171.6</v>
      </c>
      <c r="R5" s="32"/>
    </row>
    <row r="6" spans="1:18">
      <c r="A6" s="32" t="s">
        <v>53</v>
      </c>
      <c r="B6" s="37">
        <f>B26</f>
        <v>1956.21662136231</v>
      </c>
      <c r="C6" s="33"/>
      <c r="D6" s="37">
        <f>IF(ISERROR(TER_kantoor_gas_kWh/1000),0,TER_kantoor_gas_kWh/1000)*0.902</f>
        <v>2647.7529495034223</v>
      </c>
      <c r="E6" s="33">
        <f>$C$26*'E Balans VL '!I12/100/3.6*1000000</f>
        <v>68.47527700823295</v>
      </c>
      <c r="F6" s="33">
        <f>$C$26*('E Balans VL '!L12+'E Balans VL '!N12)/100/3.6*1000000</f>
        <v>296.60443935782888</v>
      </c>
      <c r="G6" s="34"/>
      <c r="H6" s="33"/>
      <c r="I6" s="33"/>
      <c r="J6" s="33">
        <f>$C$26*('E Balans VL '!D12+'E Balans VL '!E12)/100/3.6*1000000</f>
        <v>0</v>
      </c>
      <c r="K6" s="33"/>
      <c r="L6" s="33"/>
      <c r="M6" s="33"/>
      <c r="N6" s="33">
        <f>$C$26*'E Balans VL '!Y12/100/3.6*1000000</f>
        <v>15.120942204178844</v>
      </c>
      <c r="O6" s="33"/>
      <c r="P6" s="33"/>
      <c r="R6" s="32"/>
    </row>
    <row r="7" spans="1:18">
      <c r="A7" s="32" t="s">
        <v>52</v>
      </c>
      <c r="B7" s="37">
        <f t="shared" ref="B7:B12" si="0">B27</f>
        <v>906.648964241508</v>
      </c>
      <c r="C7" s="33"/>
      <c r="D7" s="37">
        <f>IF(ISERROR(TER_horeca_gas_kWh/1000),0,TER_horeca_gas_kWh/1000)*0.902</f>
        <v>1057.4518600695521</v>
      </c>
      <c r="E7" s="33">
        <f>$C$27*'E Balans VL '!I9/100/3.6*1000000</f>
        <v>51.147057078434905</v>
      </c>
      <c r="F7" s="33">
        <f>$C$27*('E Balans VL '!L9+'E Balans VL '!N9)/100/3.6*1000000</f>
        <v>157.94326703065994</v>
      </c>
      <c r="G7" s="34"/>
      <c r="H7" s="33"/>
      <c r="I7" s="33"/>
      <c r="J7" s="33">
        <f>$C$27*('E Balans VL '!D9+'E Balans VL '!E9)/100/3.6*1000000</f>
        <v>0</v>
      </c>
      <c r="K7" s="33"/>
      <c r="L7" s="33"/>
      <c r="M7" s="33"/>
      <c r="N7" s="33">
        <f>$C$27*'E Balans VL '!Y9/100/3.6*1000000</f>
        <v>0</v>
      </c>
      <c r="O7" s="33"/>
      <c r="P7" s="33"/>
      <c r="R7" s="32"/>
    </row>
    <row r="8" spans="1:18">
      <c r="A8" s="6" t="s">
        <v>51</v>
      </c>
      <c r="B8" s="37">
        <f t="shared" si="0"/>
        <v>5120.32115902437</v>
      </c>
      <c r="C8" s="33"/>
      <c r="D8" s="37">
        <f>IF(ISERROR(TER_handel_gas_kWh/1000),0,TER_handel_gas_kWh/1000)*0.902</f>
        <v>1227.7241397909579</v>
      </c>
      <c r="E8" s="33">
        <f>$C$28*'E Balans VL '!I13/100/3.6*1000000</f>
        <v>26.287208613346259</v>
      </c>
      <c r="F8" s="33">
        <f>$C$28*('E Balans VL '!L13+'E Balans VL '!N13)/100/3.6*1000000</f>
        <v>789.47440563792748</v>
      </c>
      <c r="G8" s="34"/>
      <c r="H8" s="33"/>
      <c r="I8" s="33"/>
      <c r="J8" s="33">
        <f>$C$28*('E Balans VL '!D13+'E Balans VL '!E13)/100/3.6*1000000</f>
        <v>0</v>
      </c>
      <c r="K8" s="33"/>
      <c r="L8" s="33"/>
      <c r="M8" s="33"/>
      <c r="N8" s="33">
        <f>$C$28*'E Balans VL '!Y13/100/3.6*1000000</f>
        <v>2.3948367080084378</v>
      </c>
      <c r="O8" s="33"/>
      <c r="P8" s="33"/>
      <c r="R8" s="32"/>
    </row>
    <row r="9" spans="1:18">
      <c r="A9" s="32" t="s">
        <v>50</v>
      </c>
      <c r="B9" s="37">
        <f t="shared" si="0"/>
        <v>468.548863590238</v>
      </c>
      <c r="C9" s="33"/>
      <c r="D9" s="37">
        <f>IF(ISERROR(TER_gezond_gas_kWh/1000),0,TER_gezond_gas_kWh/1000)*0.902</f>
        <v>310.89807080754696</v>
      </c>
      <c r="E9" s="33">
        <f>$C$29*'E Balans VL '!I10/100/3.6*1000000</f>
        <v>0.19421016707274039</v>
      </c>
      <c r="F9" s="33">
        <f>$C$29*('E Balans VL '!L10+'E Balans VL '!N10)/100/3.6*1000000</f>
        <v>115.39686521518904</v>
      </c>
      <c r="G9" s="34"/>
      <c r="H9" s="33"/>
      <c r="I9" s="33"/>
      <c r="J9" s="33">
        <f>$C$29*('E Balans VL '!D10+'E Balans VL '!E10)/100/3.6*1000000</f>
        <v>0</v>
      </c>
      <c r="K9" s="33"/>
      <c r="L9" s="33"/>
      <c r="M9" s="33"/>
      <c r="N9" s="33">
        <f>$C$29*'E Balans VL '!Y10/100/3.6*1000000</f>
        <v>4.0494218984808663</v>
      </c>
      <c r="O9" s="33"/>
      <c r="P9" s="33"/>
      <c r="R9" s="32"/>
    </row>
    <row r="10" spans="1:18">
      <c r="A10" s="32" t="s">
        <v>49</v>
      </c>
      <c r="B10" s="37">
        <f t="shared" si="0"/>
        <v>1232.7400408711501</v>
      </c>
      <c r="C10" s="33"/>
      <c r="D10" s="37">
        <f>IF(ISERROR(TER_ander_gas_kWh/1000),0,TER_ander_gas_kWh/1000)*0.902</f>
        <v>358.79381189660376</v>
      </c>
      <c r="E10" s="33">
        <f>$C$30*'E Balans VL '!I14/100/3.6*1000000</f>
        <v>7.514813704172596</v>
      </c>
      <c r="F10" s="33">
        <f>$C$30*('E Balans VL '!L14+'E Balans VL '!N14)/100/3.6*1000000</f>
        <v>326.81627145796898</v>
      </c>
      <c r="G10" s="34"/>
      <c r="H10" s="33"/>
      <c r="I10" s="33"/>
      <c r="J10" s="33">
        <f>$C$30*('E Balans VL '!D14+'E Balans VL '!E14)/100/3.6*1000000</f>
        <v>0</v>
      </c>
      <c r="K10" s="33"/>
      <c r="L10" s="33"/>
      <c r="M10" s="33"/>
      <c r="N10" s="33">
        <f>$C$30*'E Balans VL '!Y14/100/3.6*1000000</f>
        <v>284.11994186915302</v>
      </c>
      <c r="O10" s="33"/>
      <c r="P10" s="33"/>
      <c r="R10" s="32"/>
    </row>
    <row r="11" spans="1:18">
      <c r="A11" s="32" t="s">
        <v>54</v>
      </c>
      <c r="B11" s="37">
        <f t="shared" si="0"/>
        <v>564.27316808076102</v>
      </c>
      <c r="C11" s="33"/>
      <c r="D11" s="37">
        <f>IF(ISERROR(TER_onderwijs_gas_kWh/1000),0,TER_onderwijs_gas_kWh/1000)*0.902</f>
        <v>2363.115181000916</v>
      </c>
      <c r="E11" s="33">
        <f>$C$31*'E Balans VL '!I11/100/3.6*1000000</f>
        <v>0.43000553609180325</v>
      </c>
      <c r="F11" s="33">
        <f>$C$31*('E Balans VL '!L11+'E Balans VL '!N11)/100/3.6*1000000</f>
        <v>408.33898787950733</v>
      </c>
      <c r="G11" s="34"/>
      <c r="H11" s="33"/>
      <c r="I11" s="33"/>
      <c r="J11" s="33">
        <f>$C$31*('E Balans VL '!D11+'E Balans VL '!E11)/100/3.6*1000000</f>
        <v>0</v>
      </c>
      <c r="K11" s="33"/>
      <c r="L11" s="33"/>
      <c r="M11" s="33"/>
      <c r="N11" s="33">
        <f>$C$31*'E Balans VL '!Y11/100/3.6*1000000</f>
        <v>1.6630478851637807</v>
      </c>
      <c r="O11" s="33"/>
      <c r="P11" s="33"/>
      <c r="R11" s="32"/>
    </row>
    <row r="12" spans="1:18">
      <c r="A12" s="32" t="s">
        <v>255</v>
      </c>
      <c r="B12" s="37">
        <f t="shared" si="0"/>
        <v>3738.0099826977003</v>
      </c>
      <c r="C12" s="33"/>
      <c r="D12" s="37">
        <f>IF(ISERROR(TER_rest_gas_kWh/1000),0,TER_rest_gas_kWh/1000)*0.902</f>
        <v>4540.9710170663966</v>
      </c>
      <c r="E12" s="33">
        <f>$C$32*'E Balans VL '!I8/100/3.6*1000000</f>
        <v>80.169300754444492</v>
      </c>
      <c r="F12" s="33">
        <f>$C$32*('E Balans VL '!L8+'E Balans VL '!N8)/100/3.6*1000000</f>
        <v>737.57573545749267</v>
      </c>
      <c r="G12" s="34"/>
      <c r="H12" s="33"/>
      <c r="I12" s="33"/>
      <c r="J12" s="33">
        <f>$C$32*('E Balans VL '!D8+'E Balans VL '!E8)/100/3.6*1000000</f>
        <v>0</v>
      </c>
      <c r="K12" s="33"/>
      <c r="L12" s="33"/>
      <c r="M12" s="33"/>
      <c r="N12" s="33">
        <f>$C$32*'E Balans VL '!Y8/100/3.6*1000000</f>
        <v>106.02014737173556</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13986.758799868039</v>
      </c>
      <c r="C16" s="21">
        <f ca="1">C5+C13+C14</f>
        <v>0</v>
      </c>
      <c r="D16" s="21">
        <f t="shared" ref="D16:N16" ca="1" si="1">MAX((D5+D13+D14),0)</f>
        <v>12506.707030135396</v>
      </c>
      <c r="E16" s="21">
        <f t="shared" si="1"/>
        <v>234.21787286179577</v>
      </c>
      <c r="F16" s="21">
        <f t="shared" ca="1" si="1"/>
        <v>2832.1499720365741</v>
      </c>
      <c r="G16" s="21">
        <f t="shared" si="1"/>
        <v>0</v>
      </c>
      <c r="H16" s="21">
        <f t="shared" si="1"/>
        <v>0</v>
      </c>
      <c r="I16" s="21">
        <f t="shared" si="1"/>
        <v>0</v>
      </c>
      <c r="J16" s="21">
        <f t="shared" si="1"/>
        <v>0</v>
      </c>
      <c r="K16" s="21">
        <f t="shared" si="1"/>
        <v>0</v>
      </c>
      <c r="L16" s="21">
        <f t="shared" ca="1" si="1"/>
        <v>0</v>
      </c>
      <c r="M16" s="21">
        <f t="shared" si="1"/>
        <v>0</v>
      </c>
      <c r="N16" s="21">
        <f t="shared" ca="1" si="1"/>
        <v>413.36833793672054</v>
      </c>
      <c r="O16" s="21">
        <f>O5</f>
        <v>1.5633333333333335</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0.2155234298636054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3014.4742292225251</v>
      </c>
      <c r="C20" s="23">
        <f t="shared" ref="C20:P20" ca="1" si="2">C16*C18</f>
        <v>0</v>
      </c>
      <c r="D20" s="23">
        <f t="shared" ca="1" si="2"/>
        <v>2526.3548200873502</v>
      </c>
      <c r="E20" s="23">
        <f t="shared" si="2"/>
        <v>53.167457139627643</v>
      </c>
      <c r="F20" s="23">
        <f t="shared" ca="1" si="2"/>
        <v>756.18404253376536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1956.21662136231</v>
      </c>
      <c r="C26" s="39">
        <f>IF(ISERROR(B26*3.6/1000000/'E Balans VL '!Z12*100),0,B26*3.6/1000000/'E Balans VL '!Z12*100)</f>
        <v>4.1165334655497619E-2</v>
      </c>
      <c r="D26" s="234" t="s">
        <v>706</v>
      </c>
      <c r="F26" s="6"/>
    </row>
    <row r="27" spans="1:18">
      <c r="A27" s="229" t="s">
        <v>52</v>
      </c>
      <c r="B27" s="33">
        <f>IF(ISERROR(TER_horeca_ele_kWh/1000),0,TER_horeca_ele_kWh/1000)</f>
        <v>906.648964241508</v>
      </c>
      <c r="C27" s="39">
        <f>IF(ISERROR(B27*3.6/1000000/'E Balans VL '!Z9*100),0,B27*3.6/1000000/'E Balans VL '!Z9*100)</f>
        <v>7.6763420142331895E-2</v>
      </c>
      <c r="D27" s="234" t="s">
        <v>706</v>
      </c>
      <c r="F27" s="6"/>
    </row>
    <row r="28" spans="1:18">
      <c r="A28" s="169" t="s">
        <v>51</v>
      </c>
      <c r="B28" s="33">
        <f>IF(ISERROR(TER_handel_ele_kWh/1000),0,TER_handel_ele_kWh/1000)</f>
        <v>5120.32115902437</v>
      </c>
      <c r="C28" s="39">
        <f>IF(ISERROR(B28*3.6/1000000/'E Balans VL '!Z13*100),0,B28*3.6/1000000/'E Balans VL '!Z13*100)</f>
        <v>0.14175538325446607</v>
      </c>
      <c r="D28" s="234" t="s">
        <v>706</v>
      </c>
      <c r="F28" s="6"/>
    </row>
    <row r="29" spans="1:18">
      <c r="A29" s="229" t="s">
        <v>50</v>
      </c>
      <c r="B29" s="33">
        <f>IF(ISERROR(TER_gezond_ele_kWh/1000),0,TER_gezond_ele_kWh/1000)</f>
        <v>468.548863590238</v>
      </c>
      <c r="C29" s="39">
        <f>IF(ISERROR(B29*3.6/1000000/'E Balans VL '!Z10*100),0,B29*3.6/1000000/'E Balans VL '!Z10*100)</f>
        <v>6.0906157796956267E-2</v>
      </c>
      <c r="D29" s="234" t="s">
        <v>706</v>
      </c>
      <c r="F29" s="6"/>
    </row>
    <row r="30" spans="1:18">
      <c r="A30" s="229" t="s">
        <v>49</v>
      </c>
      <c r="B30" s="33">
        <f>IF(ISERROR(TER_ander_ele_kWh/1000),0,TER_ander_ele_kWh/1000)</f>
        <v>1232.7400408711501</v>
      </c>
      <c r="C30" s="39">
        <f>IF(ISERROR(B30*3.6/1000000/'E Balans VL '!Z14*100),0,B30*3.6/1000000/'E Balans VL '!Z14*100)</f>
        <v>9.5548658257296248E-2</v>
      </c>
      <c r="D30" s="234" t="s">
        <v>706</v>
      </c>
      <c r="F30" s="6"/>
    </row>
    <row r="31" spans="1:18">
      <c r="A31" s="229" t="s">
        <v>54</v>
      </c>
      <c r="B31" s="33">
        <f>IF(ISERROR(TER_onderwijs_ele_kWh/1000),0,TER_onderwijs_ele_kWh/1000)</f>
        <v>564.27316808076102</v>
      </c>
      <c r="C31" s="39">
        <f>IF(ISERROR(B31*3.6/1000000/'E Balans VL '!Z11*100),0,B31*3.6/1000000/'E Balans VL '!Z11*100)</f>
        <v>0.10795507206515942</v>
      </c>
      <c r="D31" s="234" t="s">
        <v>706</v>
      </c>
    </row>
    <row r="32" spans="1:18">
      <c r="A32" s="229" t="s">
        <v>255</v>
      </c>
      <c r="B32" s="33">
        <f>IF(ISERROR(TER_rest_ele_kWh/1000),0,TER_rest_ele_kWh/1000)</f>
        <v>3738.0099826977003</v>
      </c>
      <c r="C32" s="39">
        <f>IF(ISERROR(B32*3.6/1000000/'E Balans VL '!Z8*100),0,B32*3.6/1000000/'E Balans VL '!Z8*100)</f>
        <v>3.0822762783383813E-2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9</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22311.476355019804</v>
      </c>
      <c r="C5" s="17">
        <f>IF(ISERROR('Eigen informatie GS &amp; warmtenet'!B59),0,'Eigen informatie GS &amp; warmtenet'!B59)</f>
        <v>0</v>
      </c>
      <c r="D5" s="30">
        <f>SUM(D6:D15)</f>
        <v>112525.74976997433</v>
      </c>
      <c r="E5" s="17">
        <f>SUM(E6:E15)</f>
        <v>211.49112701674559</v>
      </c>
      <c r="F5" s="17">
        <f>SUM(F6:F15)</f>
        <v>5203.2166054104073</v>
      </c>
      <c r="G5" s="18"/>
      <c r="H5" s="17"/>
      <c r="I5" s="17"/>
      <c r="J5" s="17">
        <f>SUM(J6:J15)</f>
        <v>148.64437543726947</v>
      </c>
      <c r="K5" s="17"/>
      <c r="L5" s="17"/>
      <c r="M5" s="17"/>
      <c r="N5" s="17">
        <f>SUM(N6:N15)</f>
        <v>469.30847243903736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646.80579362850801</v>
      </c>
      <c r="C8" s="33"/>
      <c r="D8" s="37">
        <f>IF( ISERROR(IND_metaal_Gas_kWH/1000),0,IND_metaal_Gas_kWH/1000)*0.902</f>
        <v>0</v>
      </c>
      <c r="E8" s="33">
        <f>C30*'E Balans VL '!I18/100/3.6*1000000</f>
        <v>4.544961600602579</v>
      </c>
      <c r="F8" s="33">
        <f>C30*'E Balans VL '!L18/100/3.6*1000000+C30*'E Balans VL '!N18/100/3.6*1000000</f>
        <v>71.015491954045515</v>
      </c>
      <c r="G8" s="34"/>
      <c r="H8" s="33"/>
      <c r="I8" s="33"/>
      <c r="J8" s="40">
        <f>C30*'E Balans VL '!D18/100/3.6*1000000+C30*'E Balans VL '!E18/100/3.6*1000000</f>
        <v>13.344997642442053</v>
      </c>
      <c r="K8" s="33"/>
      <c r="L8" s="33"/>
      <c r="M8" s="33"/>
      <c r="N8" s="33">
        <f>C30*'E Balans VL '!Y18/100/3.6*1000000</f>
        <v>2.4242746974229394</v>
      </c>
      <c r="O8" s="33"/>
      <c r="P8" s="33"/>
      <c r="R8" s="32"/>
    </row>
    <row r="9" spans="1:18">
      <c r="A9" s="6" t="s">
        <v>32</v>
      </c>
      <c r="B9" s="37">
        <f t="shared" si="0"/>
        <v>1405.30437882553</v>
      </c>
      <c r="C9" s="33"/>
      <c r="D9" s="37">
        <f>IF( ISERROR(IND_andere_gas_kWh/1000),0,IND_andere_gas_kWh/1000)*0.902</f>
        <v>274.8302991033263</v>
      </c>
      <c r="E9" s="33">
        <f>C31*'E Balans VL '!I19/100/3.6*1000000</f>
        <v>23.603808595204963</v>
      </c>
      <c r="F9" s="33">
        <f>C31*'E Balans VL '!L19/100/3.6*1000000+C31*'E Balans VL '!N19/100/3.6*1000000</f>
        <v>1098.5869232047864</v>
      </c>
      <c r="G9" s="34"/>
      <c r="H9" s="33"/>
      <c r="I9" s="33"/>
      <c r="J9" s="40">
        <f>C31*'E Balans VL '!D19/100/3.6*1000000+C31*'E Balans VL '!E19/100/3.6*1000000</f>
        <v>0.12674604980738999</v>
      </c>
      <c r="K9" s="33"/>
      <c r="L9" s="33"/>
      <c r="M9" s="33"/>
      <c r="N9" s="33">
        <f>C31*'E Balans VL '!Y19/100/3.6*1000000</f>
        <v>104.15560059483089</v>
      </c>
      <c r="O9" s="33"/>
      <c r="P9" s="33"/>
      <c r="R9" s="32"/>
    </row>
    <row r="10" spans="1:18">
      <c r="A10" s="6" t="s">
        <v>40</v>
      </c>
      <c r="B10" s="37">
        <f t="shared" si="0"/>
        <v>381.27740667121395</v>
      </c>
      <c r="C10" s="33"/>
      <c r="D10" s="37">
        <f>IF( ISERROR(IND_voed_gas_kWh/1000),0,IND_voed_gas_kWh/1000)*0.902</f>
        <v>437.75355144529453</v>
      </c>
      <c r="E10" s="33">
        <f>C32*'E Balans VL '!I20/100/3.6*1000000</f>
        <v>3.4786166186494318</v>
      </c>
      <c r="F10" s="33">
        <f>C32*'E Balans VL '!L20/100/3.6*1000000+C32*'E Balans VL '!N20/100/3.6*1000000</f>
        <v>61.511971355433616</v>
      </c>
      <c r="G10" s="34"/>
      <c r="H10" s="33"/>
      <c r="I10" s="33"/>
      <c r="J10" s="40">
        <f>C32*'E Balans VL '!D20/100/3.6*1000000+C32*'E Balans VL '!E20/100/3.6*1000000</f>
        <v>1.570350338240057</v>
      </c>
      <c r="K10" s="33"/>
      <c r="L10" s="33"/>
      <c r="M10" s="33"/>
      <c r="N10" s="33">
        <f>C32*'E Balans VL '!Y20/100/3.6*1000000</f>
        <v>5.5777878139267578</v>
      </c>
      <c r="O10" s="33"/>
      <c r="P10" s="33"/>
      <c r="R10" s="32"/>
    </row>
    <row r="11" spans="1:18">
      <c r="A11" s="6" t="s">
        <v>39</v>
      </c>
      <c r="B11" s="37">
        <f t="shared" si="0"/>
        <v>11.1933260756704</v>
      </c>
      <c r="C11" s="33"/>
      <c r="D11" s="37">
        <f>IF( ISERROR(IND_textiel_gas_kWh/1000),0,IND_textiel_gas_kWh/1000)*0.902</f>
        <v>0</v>
      </c>
      <c r="E11" s="33">
        <f>C33*'E Balans VL '!I21/100/3.6*1000000</f>
        <v>2.552990050538869E-2</v>
      </c>
      <c r="F11" s="33">
        <f>C33*'E Balans VL '!L21/100/3.6*1000000+C33*'E Balans VL '!N21/100/3.6*1000000</f>
        <v>0.23926772663061868</v>
      </c>
      <c r="G11" s="34"/>
      <c r="H11" s="33"/>
      <c r="I11" s="33"/>
      <c r="J11" s="40">
        <f>C33*'E Balans VL '!D21/100/3.6*1000000+C33*'E Balans VL '!E21/100/3.6*1000000</f>
        <v>0</v>
      </c>
      <c r="K11" s="33"/>
      <c r="L11" s="33"/>
      <c r="M11" s="33"/>
      <c r="N11" s="33">
        <f>C33*'E Balans VL '!Y21/100/3.6*1000000</f>
        <v>7.9403945094268596E-2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25.028132604085897</v>
      </c>
      <c r="C13" s="33"/>
      <c r="D13" s="37">
        <f>IF( ISERROR(IND_papier_gas_kWh/1000),0,IND_papier_gas_kWh/1000)*0.902</f>
        <v>0</v>
      </c>
      <c r="E13" s="33">
        <f>C35*'E Balans VL '!I23/100/3.6*1000000</f>
        <v>0.77005032261897621</v>
      </c>
      <c r="F13" s="33">
        <f>C35*'E Balans VL '!L23/100/3.6*1000000+C35*'E Balans VL '!N23/100/3.6*1000000</f>
        <v>5.3143472334036748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19841.867317214797</v>
      </c>
      <c r="C15" s="33"/>
      <c r="D15" s="37">
        <f>IF( ISERROR(IND_rest_gas_kWh/1000),0,IND_rest_gas_kWh/1000)*0.902</f>
        <v>111813.16591942571</v>
      </c>
      <c r="E15" s="33">
        <f>C37*'E Balans VL '!I15/100/3.6*1000000</f>
        <v>179.06815997916425</v>
      </c>
      <c r="F15" s="33">
        <f>C37*'E Balans VL '!L15/100/3.6*1000000+C37*'E Balans VL '!N15/100/3.6*1000000</f>
        <v>3966.5486039361076</v>
      </c>
      <c r="G15" s="34"/>
      <c r="H15" s="33"/>
      <c r="I15" s="33"/>
      <c r="J15" s="40">
        <f>C37*'E Balans VL '!D15/100/3.6*1000000+C37*'E Balans VL '!E15/100/3.6*1000000</f>
        <v>133.60228140677998</v>
      </c>
      <c r="K15" s="33"/>
      <c r="L15" s="33"/>
      <c r="M15" s="33"/>
      <c r="N15" s="33">
        <f>C37*'E Balans VL '!Y15/100/3.6*1000000</f>
        <v>357.07140538776252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22311.476355019804</v>
      </c>
      <c r="C18" s="21">
        <f>C5+C16</f>
        <v>0</v>
      </c>
      <c r="D18" s="21">
        <f>MAX((D5+D16),0)</f>
        <v>112525.74976997433</v>
      </c>
      <c r="E18" s="21">
        <f>MAX((E5+E16),0)</f>
        <v>211.49112701674559</v>
      </c>
      <c r="F18" s="21">
        <f>MAX((F5+F16),0)</f>
        <v>5203.2166054104073</v>
      </c>
      <c r="G18" s="21"/>
      <c r="H18" s="21"/>
      <c r="I18" s="21"/>
      <c r="J18" s="21">
        <f>MAX((J5+J16),0)</f>
        <v>148.64437543726947</v>
      </c>
      <c r="K18" s="21"/>
      <c r="L18" s="21">
        <f>MAX((L5+L16),0)</f>
        <v>0</v>
      </c>
      <c r="M18" s="21"/>
      <c r="N18" s="21">
        <f>MAX((N5+N16),0)</f>
        <v>469.30847243903736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0.2155234298636054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4808.6459093546009</v>
      </c>
      <c r="C22" s="23">
        <f ca="1">C18*C20</f>
        <v>0</v>
      </c>
      <c r="D22" s="23">
        <f>D18*D20</f>
        <v>22730.201453534813</v>
      </c>
      <c r="E22" s="23">
        <f>E18*E20</f>
        <v>48.008485832801249</v>
      </c>
      <c r="F22" s="23">
        <f>F18*F20</f>
        <v>1389.2588336445788</v>
      </c>
      <c r="G22" s="23"/>
      <c r="H22" s="23"/>
      <c r="I22" s="23"/>
      <c r="J22" s="23">
        <f>J18*J20</f>
        <v>52.620108904793391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646.80579362850801</v>
      </c>
      <c r="C30" s="39">
        <f>IF(ISERROR(B30*3.6/1000000/'E Balans VL '!Z18*100),0,B30*3.6/1000000/'E Balans VL '!Z18*100)</f>
        <v>4.3058256654565377E-2</v>
      </c>
      <c r="D30" s="234" t="s">
        <v>706</v>
      </c>
    </row>
    <row r="31" spans="1:18">
      <c r="A31" s="6" t="s">
        <v>32</v>
      </c>
      <c r="B31" s="37">
        <f>IF( ISERROR(IND_ander_ele_kWh/1000),0,IND_ander_ele_kWh/1000)</f>
        <v>1405.30437882553</v>
      </c>
      <c r="C31" s="39">
        <f>IF(ISERROR(B31*3.6/1000000/'E Balans VL '!Z19*100),0,B31*3.6/1000000/'E Balans VL '!Z19*100)</f>
        <v>6.2291573966771874E-2</v>
      </c>
      <c r="D31" s="234" t="s">
        <v>706</v>
      </c>
    </row>
    <row r="32" spans="1:18">
      <c r="A32" s="169" t="s">
        <v>40</v>
      </c>
      <c r="B32" s="37">
        <f>IF( ISERROR(IND_voed_ele_kWh/1000),0,IND_voed_ele_kWh/1000)</f>
        <v>381.27740667121395</v>
      </c>
      <c r="C32" s="39">
        <f>IF(ISERROR(B32*3.6/1000000/'E Balans VL '!Z20*100),0,B32*3.6/1000000/'E Balans VL '!Z20*100)</f>
        <v>1.2735759126140236E-2</v>
      </c>
      <c r="D32" s="234" t="s">
        <v>706</v>
      </c>
    </row>
    <row r="33" spans="1:5">
      <c r="A33" s="169" t="s">
        <v>39</v>
      </c>
      <c r="B33" s="37">
        <f>IF( ISERROR(IND_textiel_ele_kWh/1000),0,IND_textiel_ele_kWh/1000)</f>
        <v>11.1933260756704</v>
      </c>
      <c r="C33" s="39">
        <f>IF(ISERROR(B33*3.6/1000000/'E Balans VL '!Z21*100),0,B33*3.6/1000000/'E Balans VL '!Z21*100)</f>
        <v>1.4736271901194299E-3</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25.028132604085897</v>
      </c>
      <c r="C35" s="39">
        <f>IF(ISERROR(B35*3.6/1000000/'E Balans VL '!Z22*100),0,B35*3.6/1000000/'E Balans VL '!Z22*100)</f>
        <v>4.8676968730853587E-3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19841.867317214797</v>
      </c>
      <c r="C37" s="39">
        <f>IF(ISERROR(B37*3.6/1000000/'E Balans VL '!Z15*100),0,B37*3.6/1000000/'E Balans VL '!Z15*100)</f>
        <v>0.147591167673148</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115.77760668970801</v>
      </c>
      <c r="C5" s="17">
        <f>'Eigen informatie GS &amp; warmtenet'!B60</f>
        <v>0</v>
      </c>
      <c r="D5" s="30">
        <f>IF(ISERROR(SUM(LB_lb_gas_kWh,LB_rest_gas_kWh)/1000),0,SUM(LB_lb_gas_kWh,LB_rest_gas_kWh)/1000)*0.902</f>
        <v>35.259865446899937</v>
      </c>
      <c r="E5" s="17">
        <f>B17*'E Balans VL '!I25/3.6*1000000/100</f>
        <v>1.2124481620843326</v>
      </c>
      <c r="F5" s="17">
        <f>B17*('E Balans VL '!L25/3.6*1000000+'E Balans VL '!N25/3.6*1000000)/100</f>
        <v>495.61612892953906</v>
      </c>
      <c r="G5" s="18"/>
      <c r="H5" s="17"/>
      <c r="I5" s="17"/>
      <c r="J5" s="17">
        <f>('E Balans VL '!D25+'E Balans VL '!E25)/3.6*1000000*landbouw!B17/100</f>
        <v>10.339978009783046</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115.77760668970801</v>
      </c>
      <c r="C8" s="21">
        <f>C5+C6</f>
        <v>0</v>
      </c>
      <c r="D8" s="21">
        <f>MAX((D5+D6),0)</f>
        <v>35.259865446899937</v>
      </c>
      <c r="E8" s="21">
        <f>MAX((E5+E6),0)</f>
        <v>1.2124481620843326</v>
      </c>
      <c r="F8" s="21">
        <f>MAX((F5+F6),0)</f>
        <v>495.61612892953906</v>
      </c>
      <c r="G8" s="21"/>
      <c r="H8" s="21"/>
      <c r="I8" s="21"/>
      <c r="J8" s="21">
        <f>MAX((J5+J6),0)</f>
        <v>10.339978009783046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0.2155234298636054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24.952786895165374</v>
      </c>
      <c r="C12" s="23">
        <f ca="1">C8*C10</f>
        <v>0</v>
      </c>
      <c r="D12" s="23">
        <f>D8*D10</f>
        <v>7.1224928202737878</v>
      </c>
      <c r="E12" s="23">
        <f>E8*E10</f>
        <v>0.2752257327931435</v>
      </c>
      <c r="F12" s="23">
        <f>F8*F10</f>
        <v>132.32950642418695</v>
      </c>
      <c r="G12" s="23"/>
      <c r="H12" s="23"/>
      <c r="I12" s="23"/>
      <c r="J12" s="23">
        <f>J8*J10</f>
        <v>3.660352215463198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1.7820408590365048E-2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32.092763247472611</v>
      </c>
      <c r="C26" s="244">
        <f>B26*'GWP N2O_CH4'!B5</f>
        <v>673.94802819692484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4.5084484244997789</v>
      </c>
      <c r="C27" s="244">
        <f>B27*'GWP N2O_CH4'!B5</f>
        <v>94.677416914495353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0.46892673061356716</v>
      </c>
      <c r="C28" s="244">
        <f>B28*'GWP N2O_CH4'!B4</f>
        <v>145.36728649020583</v>
      </c>
      <c r="D28" s="50"/>
    </row>
    <row r="29" spans="1:4">
      <c r="A29" s="41" t="s">
        <v>272</v>
      </c>
      <c r="B29" s="244">
        <f>B34*'ha_N2O bodem landbouw'!B4</f>
        <v>3.535845509762872</v>
      </c>
      <c r="C29" s="244">
        <f>B29*'GWP N2O_CH4'!B4</f>
        <v>1096.1121080264904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5.8434490921094112E-4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2.2052928251423041E-6</v>
      </c>
      <c r="C5" s="435" t="s">
        <v>210</v>
      </c>
      <c r="D5" s="420">
        <f>SUM(D6:D11)</f>
        <v>9.0049799422180293E-6</v>
      </c>
      <c r="E5" s="420">
        <f>SUM(E6:E11)</f>
        <v>9.2349962964054472E-4</v>
      </c>
      <c r="F5" s="433" t="s">
        <v>210</v>
      </c>
      <c r="G5" s="420">
        <f>SUM(G6:G11)</f>
        <v>0.1448253618575151</v>
      </c>
      <c r="H5" s="420">
        <f>SUM(H6:H11)</f>
        <v>2.9163827800279336E-2</v>
      </c>
      <c r="I5" s="435" t="s">
        <v>210</v>
      </c>
      <c r="J5" s="435" t="s">
        <v>210</v>
      </c>
      <c r="K5" s="435" t="s">
        <v>210</v>
      </c>
      <c r="L5" s="435" t="s">
        <v>210</v>
      </c>
      <c r="M5" s="420">
        <f>SUM(M6:M11)</f>
        <v>7.5812245667419235E-3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9.3222097521618706E-7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2.9516176035684788E-6</v>
      </c>
      <c r="E6" s="423">
        <f>vkm_GW_PW*SUMIFS(TableVerdeelsleutelVkm[LPG],TableVerdeelsleutelVkm[Voertuigtype],"Lichte voertuigen")*SUMIFS(TableECFTransport[EnergieConsumptieFactor (PJ per km)],TableECFTransport[Index],CONCATENATE($A6,"_LPG_LPG"))</f>
        <v>3.0758422046332019E-4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4.0970294844141393E-2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9.8286852676953522E-3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2.217332552168585E-3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2.922442150296864E-8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1.3173701822634182E-2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3.5667773077297698E-7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5.6752855264263736E-4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9.9594580350920158E-7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5.3591371090972147E-6</v>
      </c>
      <c r="E8" s="423">
        <f>vkm_NGW_PW*SUMIFS(TableVerdeelsleutelVkm[LPG],TableVerdeelsleutelVkm[Voertuigtype],"Lichte voertuigen")*SUMIFS(TableECFTransport[EnergieConsumptieFactor (PJ per km)],TableECFTransport[Index],CONCATENATE($A8,"_LPG_LPG"))</f>
        <v>5.2703701096880296E-4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6.6467764817802269E-2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1.687444580694893E-2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3.6400242541369532E-3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1.0671785873745516E-8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6.6634328441986168E-3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1.5721124998427007E-7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2.8706239000385482E-4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2.2244105451622585E-7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6.9422522955233546E-7</v>
      </c>
      <c r="E10" s="423">
        <f>vkm_SW_PW*SUMIFS(TableVerdeelsleutelVkm[LPG],TableVerdeelsleutelVkm[Voertuigtype],"Lichte voertuigen")*SUMIFS(TableECFTransport[EnergieConsumptieFactor (PJ per km)],TableECFTransport[Index],CONCATENATE($A10,"_LPG_LPG"))</f>
        <v>8.8878398208421531E-5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1.111760259765554E-2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2.4599970592064204E-3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5.9215871103325372E-4</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1.478878452397556E-8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6.4325649310831038E-3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1.8577744787690067E-7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2.7711810675663947E-4</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0.61258134031730671</v>
      </c>
      <c r="C14" s="21"/>
      <c r="D14" s="21">
        <f t="shared" ref="D14:M14" si="0">((D5)*10^9/3600)+D12</f>
        <v>2.501383317282786</v>
      </c>
      <c r="E14" s="21">
        <f t="shared" si="0"/>
        <v>256.52767490015134</v>
      </c>
      <c r="F14" s="21"/>
      <c r="G14" s="21">
        <f t="shared" si="0"/>
        <v>40229.267182643081</v>
      </c>
      <c r="H14" s="21">
        <f t="shared" si="0"/>
        <v>8101.0632778553709</v>
      </c>
      <c r="I14" s="21"/>
      <c r="J14" s="21"/>
      <c r="K14" s="21"/>
      <c r="L14" s="21"/>
      <c r="M14" s="21">
        <f t="shared" si="0"/>
        <v>2105.8957129838677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0.2155234298636054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0.13202563153563043</v>
      </c>
      <c r="C18" s="23"/>
      <c r="D18" s="23">
        <f t="shared" ref="D18:M18" si="1">D14*D16</f>
        <v>0.50527943009112275</v>
      </c>
      <c r="E18" s="23">
        <f t="shared" si="1"/>
        <v>58.231782202334358</v>
      </c>
      <c r="F18" s="23"/>
      <c r="G18" s="23">
        <f t="shared" si="1"/>
        <v>10741.214337765703</v>
      </c>
      <c r="H18" s="23">
        <f t="shared" si="1"/>
        <v>2017.1647561859872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1.6441635360529743E-5</v>
      </c>
      <c r="C50" s="315">
        <f t="shared" ref="C50:P50" si="2">SUM(C51:C52)</f>
        <v>0</v>
      </c>
      <c r="D50" s="315">
        <f t="shared" si="2"/>
        <v>0</v>
      </c>
      <c r="E50" s="315">
        <f t="shared" si="2"/>
        <v>0</v>
      </c>
      <c r="F50" s="315">
        <f t="shared" si="2"/>
        <v>0</v>
      </c>
      <c r="G50" s="315">
        <f t="shared" si="2"/>
        <v>3.5668477197767956E-3</v>
      </c>
      <c r="H50" s="315">
        <f t="shared" si="2"/>
        <v>0</v>
      </c>
      <c r="I50" s="315">
        <f t="shared" si="2"/>
        <v>0</v>
      </c>
      <c r="J50" s="315">
        <f t="shared" si="2"/>
        <v>0</v>
      </c>
      <c r="K50" s="315">
        <f t="shared" si="2"/>
        <v>0</v>
      </c>
      <c r="L50" s="315">
        <f t="shared" si="2"/>
        <v>0</v>
      </c>
      <c r="M50" s="315">
        <f t="shared" si="2"/>
        <v>1.5271871821050673E-4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1.6441635360529743E-5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3.5668477197767956E-3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1.5271871821050673E-4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4.5671209334804832</v>
      </c>
      <c r="C54" s="21">
        <f t="shared" ref="C54:P54" si="3">(C50)*10^9/3600</f>
        <v>0</v>
      </c>
      <c r="D54" s="21">
        <f t="shared" si="3"/>
        <v>0</v>
      </c>
      <c r="E54" s="21">
        <f t="shared" si="3"/>
        <v>0</v>
      </c>
      <c r="F54" s="21">
        <f t="shared" si="3"/>
        <v>0</v>
      </c>
      <c r="G54" s="21">
        <f t="shared" si="3"/>
        <v>990.79103327133214</v>
      </c>
      <c r="H54" s="21">
        <f t="shared" si="3"/>
        <v>0</v>
      </c>
      <c r="I54" s="21">
        <f t="shared" si="3"/>
        <v>0</v>
      </c>
      <c r="J54" s="21">
        <f t="shared" si="3"/>
        <v>0</v>
      </c>
      <c r="K54" s="21">
        <f t="shared" si="3"/>
        <v>0</v>
      </c>
      <c r="L54" s="21">
        <f t="shared" si="3"/>
        <v>0</v>
      </c>
      <c r="M54" s="21">
        <f t="shared" si="3"/>
        <v>42.421866169585201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0.2155234298636054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0.98432156818558492</v>
      </c>
      <c r="C58" s="23">
        <f t="shared" ref="C58:P58" ca="1" si="4">C54*C56</f>
        <v>0</v>
      </c>
      <c r="D58" s="23">
        <f t="shared" si="4"/>
        <v>0</v>
      </c>
      <c r="E58" s="23">
        <f t="shared" si="4"/>
        <v>0</v>
      </c>
      <c r="F58" s="23">
        <f t="shared" si="4"/>
        <v>0</v>
      </c>
      <c r="G58" s="23">
        <f t="shared" si="4"/>
        <v>264.54120588344568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1829.2180021152133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1829.2180021152133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2021-06-29T17:01:15Z</dcterms:modified>
</cp:coreProperties>
</file>