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<sst xmlns="http://schemas.openxmlformats.org/spreadsheetml/2006/main" count="2581" uniqueCount="983">
  <si>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</si>
  <si>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</si>
  <si>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</si>
  <si>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</si>
  <si>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</si>
  <si>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</si>
  <si>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</si>
  <si>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</si>
  <si>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</si>
  <si>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</si>
  <si>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</si>
  <si>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</si>
  <si>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</si>
  <si>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</si>
  <si>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</si>
  <si>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</si>
  <si>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</si>
  <si>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</si>
  <si>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</si>
  <si>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</si>
  <si>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</si>
  <si>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</si>
  <si>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</si>
  <si>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</si>
  <si>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</si>
  <si>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</si>
  <si>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</si>
  <si>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</si>
  <si>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</si>
  <si>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</si>
  <si>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</si>
  <si>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</si>
  <si>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</si>
  <si>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</si>
  <si>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</si>
  <si>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</si>
  <si>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</si>
  <si>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</si>
  <si>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</si>
  <si>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</si>
  <si>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</si>
  <si>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</si>
  <si>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</si>
  <si>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</si>
  <si>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</si>
  <si>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</si>
  <si>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</si>
  <si>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</si>
  <si>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</si>
  <si>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</si>
  <si>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</si>
  <si>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</si>
  <si>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</si>
  <si>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</si>
  <si>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</si>
  <si>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</si>
  <si>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</si>
  <si>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</si>
  <si>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</si>
  <si>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</si>
  <si>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</si>
  <si>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</si>
  <si>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</si>
  <si>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</si>
  <si>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</si>
  <si>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</si>
  <si>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</si>
  <si>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</si>
  <si>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</si>
  <si>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</si>
  <si>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</si>
  <si>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</si>
  <si>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</si>
  <si>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</si>
  <si>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</si>
  <si>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</si>
  <si>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</si>
  <si>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</si>
  <si>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</si>
  <si>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</si>
  <si>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</si>
  <si>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</si>
  <si>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</si>
  <si>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</si>
  <si>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</si>
  <si>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</si>
  <si>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</si>
  <si>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</si>
  <si>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</si>
  <si>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</si>
  <si>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</si>
  <si>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</si>
  <si>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</si>
  <si>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</si>
  <si>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</si>
  <si>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</si>
  <si>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</si>
  <si>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</si>
  <si>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</si>
  <si>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</si>
  <si>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</si>
  <si>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</si>
  <si>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</si>
  <si>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</si>
  <si>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</si>
  <si>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</si>
  <si>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</si>
  <si>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</si>
  <si>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</si>
  <si>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</si>
  <si>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</si>
  <si>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</si>
  <si>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</si>
  <si>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</si>
  <si>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</si>
  <si>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</si>
  <si>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</si>
  <si>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</si>
  <si>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</si>
  <si>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</si>
  <si>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</si>
  <si>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</si>
  <si>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</si>
  <si>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</si>
  <si>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</si>
  <si>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</si>
  <si>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</si>
  <si>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</si>
  <si>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</si>
  <si>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</si>
  <si>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</si>
  <si>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</si>
  <si>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</si>
  <si>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</si>
  <si>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</si>
  <si>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</si>
  <si>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</si>
  <si>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</si>
  <si>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</si>
  <si>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</si>
  <si>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</si>
  <si>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</si>
  <si>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</si>
  <si>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</si>
  <si>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</si>
  <si>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</si>
  <si>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</si>
  <si>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</si>
  <si>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</si>
  <si>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</si>
  <si>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</si>
  <si>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</si>
  <si>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</si>
  <si>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</si>
  <si>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</si>
  <si>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</si>
  <si>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</si>
  <si>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</si>
  <si>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</si>
  <si>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</si>
  <si>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</si>
  <si>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</si>
  <si>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</si>
  <si>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</si>
  <si>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</si>
  <si>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</si>
  <si>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</si>
  <si>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</si>
  <si>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</si>
  <si>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</si>
  <si>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</si>
  <si>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</si>
  <si>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</si>
  <si>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</si>
  <si>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</si>
  <si>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</si>
  <si>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</si>
  <si>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</si>
  <si>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</si>
  <si>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</si>
  <si>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</si>
  <si>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</si>
  <si>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</si>
  <si>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</si>
  <si>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</si>
  <si>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</si>
  <si>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</si>
  <si>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</si>
  <si>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</si>
  <si>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</si>
  <si>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</si>
  <si>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</si>
  <si>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</si>
  <si>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</si>
  <si>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</si>
  <si>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</si>
  <si>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</si>
  <si>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</si>
  <si>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</si>
  <si>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</si>
  <si>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</si>
  <si>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</si>
  <si>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</si>
  <si>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</si>
  <si>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</si>
  <si>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</si>
  <si>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</si>
  <si>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</si>
  <si>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</si>
  <si>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</si>
  <si>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</si>
  <si>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</si>
  <si>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</si>
  <si>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</si>
  <si>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</si>
  <si>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</si>
  <si>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</si>
  <si>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</si>
  <si>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</si>
  <si>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</si>
  <si>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</si>
  <si>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</si>
  <si>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</si>
  <si>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</si>
  <si>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</si>
  <si>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</si>
  <si>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</si>
  <si>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</si>
  <si>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</si>
  <si>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</si>
  <si>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</si>
  <si>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</si>
  <si>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</si>
  <si>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</si>
  <si>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</si>
  <si>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</si>
  <si>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</si>
  <si>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</si>
  <si>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</si>
  <si>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</si>
  <si>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</si>
  <si>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</si>
  <si>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</si>
  <si>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</si>
  <si>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</si>
  <si>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</si>
  <si>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</si>
  <si>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</si>
  <si>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</si>
  <si>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</si>
  <si>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</si>
  <si>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</si>
  <si>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</si>
  <si>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</si>
  <si>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</si>
  <si>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</si>
  <si>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</si>
  <si>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</si>
  <si>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</si>
  <si>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</si>
  <si>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</si>
  <si>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</si>
  <si>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</si>
  <si>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</si>
  <si>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</si>
  <si>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</si>
  <si>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</si>
  <si>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</si>
  <si>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</si>
  <si>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</si>
  <si>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</si>
  <si>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</si>
  <si>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</si>
  <si>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</si>
  <si>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</si>
  <si>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</si>
  <si>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</si>
  <si>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</si>
  <si>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</si>
  <si>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</si>
  <si>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</si>
  <si>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</si>
  <si>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</si>
  <si>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</si>
  <si>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</si>
  <si>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</si>
  <si>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</si>
  <si>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</si>
  <si>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</si>
  <si>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</si>
  <si>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</si>
  <si>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</si>
  <si>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</si>
  <si>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</si>
  <si>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</si>
  <si>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</si>
  <si>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</si>
  <si>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</si>
  <si>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</si>
  <si>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</si>
  <si>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</si>
  <si>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</si>
  <si>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</si>
  <si>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</si>
  <si>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</si>
  <si>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</si>
  <si>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</si>
  <si>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</si>
  <si>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</si>
  <si>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</si>
  <si>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</si>
  <si>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</si>
  <si>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</si>
  <si>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</si>
  <si>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</si>
  <si>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</si>
  <si>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</si>
  <si>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</si>
  <si>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</si>
  <si>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</si>
  <si>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</si>
  <si>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</si>
  <si>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</si>
  <si>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</si>
  <si>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</si>
  <si>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</si>
  <si>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</si>
  <si>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</si>
  <si>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</si>
  <si>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</si>
  <si>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</si>
  <si>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</si>
  <si>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</si>
  <si>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</si>
  <si>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</si>
  <si>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</si>
  <si>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</si>
  <si>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</si>
  <si>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</si>
  <si>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</si>
  <si>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</si>
  <si>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</si>
  <si>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</si>
  <si>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</si>
  <si>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</si>
  <si>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</si>
  <si>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</si>
  <si>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</si>
  <si>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</si>
  <si>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</si>
  <si>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</si>
  <si>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</si>
  <si>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</si>
  <si>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</si>
  <si>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</si>
  <si>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</si>
  <si>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</si>
  <si>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</si>
  <si>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</si>
  <si>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</si>
  <si>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</si>
  <si>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</si>
  <si>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</si>
  <si>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</si>
  <si>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</si>
  <si>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</si>
  <si>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</si>
  <si>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</si>
  <si>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</si>
  <si>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</si>
  <si>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</si>
  <si>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</si>
  <si>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</si>
  <si>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</si>
  <si>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</si>
  <si>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</si>
  <si>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</si>
  <si>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</si>
  <si>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</si>
  <si>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</si>
  <si>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</si>
  <si>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</si>
  <si>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</si>
  <si>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</si>
  <si>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</si>
  <si>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</si>
  <si>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</si>
  <si>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</si>
  <si>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</si>
  <si>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</si>
  <si>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</si>
  <si>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</si>
  <si>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</si>
  <si>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</si>
  <si>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</si>
  <si>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</si>
  <si>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</si>
  <si>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</si>
  <si>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</si>
  <si>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</si>
  <si>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</si>
  <si>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</si>
  <si>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</si>
  <si>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</si>
  <si>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</si>
  <si>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</si>
  <si>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</si>
  <si>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</si>
  <si>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</si>
  <si>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</si>
  <si>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</si>
  <si>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</si>
  <si>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</si>
  <si>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</si>
  <si>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</si>
  <si>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</si>
  <si>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</si>
  <si>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</si>
  <si>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</si>
  <si>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</si>
  <si>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</si>
  <si>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</si>
  <si>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</si>
  <si>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</si>
  <si>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</si>
  <si>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</si>
  <si>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</si>
  <si>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</si>
  <si>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</si>
  <si>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</si>
  <si>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</si>
  <si>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</si>
  <si>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</si>
  <si>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</si>
  <si>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</si>
  <si>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</si>
  <si>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</si>
  <si>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</si>
  <si>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</si>
  <si>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</si>
  <si>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</si>
  <si>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</si>
  <si>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</si>
  <si>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</si>
  <si>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</si>
  <si>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</si>
  <si>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</si>
  <si>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</si>
  <si>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</si>
  <si>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</si>
  <si>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</si>
  <si>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</si>
  <si>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</si>
  <si>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</si>
  <si>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</si>
  <si>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</si>
  <si>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</si>
  <si>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</si>
  <si>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</si>
  <si>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</si>
  <si>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</si>
  <si>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</si>
  <si>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</si>
  <si>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</si>
  <si>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</si>
  <si>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</si>
  <si>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</si>
  <si>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</si>
  <si>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</si>
  <si>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</si>
  <si>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</si>
  <si>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</si>
  <si>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</si>
  <si>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</si>
  <si>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</si>
  <si>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</si>
  <si>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</si>
  <si>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</si>
  <si>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</si>
  <si>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</si>
  <si>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</si>
  <si>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</si>
  <si>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</si>
  <si>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</si>
  <si>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</si>
  <si>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</si>
  <si>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</si>
  <si>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</si>
  <si>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</si>
  <si>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</si>
  <si>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</si>
  <si>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</si>
  <si>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</si>
  <si>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</si>
  <si>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</si>
  <si>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</si>
  <si>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</si>
  <si>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</si>
  <si>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</si>
  <si>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</si>
  <si>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</si>
  <si>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</si>
  <si>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</si>
  <si>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</si>
  <si>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</si>
  <si>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</si>
  <si>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</si>
  <si>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</si>
  <si>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</si>
  <si>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</si>
  <si>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</si>
  <si>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</si>
  <si>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</si>
  <si>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</si>
  <si>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</si>
  <si>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</si>
  <si>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</si>
  <si>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</si>
  <si>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</si>
  <si>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</si>
  <si>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</si>
  <si>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</si>
  <si>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</si>
  <si>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</si>
  <si>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</si>
  <si>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</si>
  <si>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</si>
  <si>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</si>
  <si>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</si>
  <si>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</si>
  <si>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</si>
  <si>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</si>
  <si>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</si>
  <si>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</si>
  <si>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</si>
  <si>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</si>
  <si>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</si>
  <si>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</si>
  <si>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</si>
  <si>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</si>
  <si>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</si>
  <si>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</si>
  <si>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</si>
  <si>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</si>
  <si>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</si>
  <si>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</si>
  <si>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</si>
  <si>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</si>
  <si>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</si>
  <si>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</si>
  <si>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</si>
  <si>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</si>
  <si>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</si>
  <si>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</si>
  <si>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</si>
  <si>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</si>
  <si>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</si>
  <si>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</si>
  <si>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</si>
  <si>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</si>
  <si>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</si>
  <si>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</si>
  <si>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</si>
  <si>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</si>
  <si>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</si>
  <si>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</si>
  <si>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</si>
  <si>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</si>
  <si>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</si>
  <si>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</si>
  <si>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</si>
  <si>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</si>
  <si>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</si>
  <si>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</si>
  <si>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</si>
  <si>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</si>
  <si>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</si>
  <si>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</si>
  <si>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</si>
  <si>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</si>
  <si>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</si>
  <si>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</si>
  <si>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</si>
  <si>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</si>
  <si>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</si>
  <si>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</si>
  <si>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</si>
  <si>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</si>
  <si>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</si>
  <si>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</si>
  <si>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</si>
  <si>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</si>
  <si>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</si>
  <si>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</si>
  <si>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</si>
  <si>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</si>
  <si>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</si>
  <si>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</si>
  <si>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</si>
  <si>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</si>
  <si>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</si>
  <si>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</si>
  <si>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</si>
  <si>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</si>
  <si>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</si>
  <si>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</si>
  <si>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</si>
  <si>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</si>
  <si>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</si>
  <si>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</si>
  <si>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</si>
  <si>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</si>
  <si>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</si>
  <si>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</si>
  <si>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</si>
  <si>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</si>
  <si>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</si>
  <si>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</si>
  <si>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</si>
  <si>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</si>
  <si>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</si>
  <si>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</si>
  <si>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</si>
  <si>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</si>
  <si>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</si>
  <si>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</si>
  <si>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</si>
  <si>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</si>
  <si>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</si>
  <si>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</si>
  <si>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</si>
  <si>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</si>
  <si>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</si>
  <si>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</si>
  <si>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</si>
  <si>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</si>
  <si>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</si>
  <si>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</si>
  <si>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</si>
  <si>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</si>
  <si>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</si>
  <si>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</si>
  <si>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</si>
  <si>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</si>
  <si>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</si>
  <si>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</si>
  <si>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</si>
  <si>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</si>
  <si>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</si>
  <si>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</si>
  <si>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</si>
  <si>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</si>
  <si>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</si>
  <si>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</si>
  <si>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</si>
  <si>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</si>
  <si>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</si>
  <si>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</si>
  <si>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</si>
  <si>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</si>
  <si>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</si>
  <si>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</si>
  <si>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</si>
  <si>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</si>
  <si>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</si>
  <si>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</si>
  <si>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</si>
  <si>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</si>
  <si>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</si>
  <si>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</si>
  <si>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</si>
  <si>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</si>
  <si>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</si>
  <si>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</si>
  <si>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</si>
  <si>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</si>
  <si>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</si>
  <si>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</si>
  <si>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</si>
  <si>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</si>
  <si>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</si>
  <si>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</si>
  <si>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</si>
  <si>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</si>
  <si>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</si>
  <si>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</si>
  <si>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</si>
  <si>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</si>
  <si>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</si>
  <si>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</si>
  <si>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</si>
  <si>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</si>
  <si>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</si>
  <si>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</si>
  <si>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</si>
  <si>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</si>
  <si>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</si>
  <si>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</si>
  <si>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</si>
  <si>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</si>
  <si>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</si>
  <si>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</si>
  <si>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</si>
  <si>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</si>
  <si>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</si>
  <si>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</si>
  <si>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</si>
  <si>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</si>
  <si>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</si>
  <si>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</si>
  <si>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</si>
  <si>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</si>
  <si>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</si>
  <si>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</si>
  <si>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</si>
  <si>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</si>
  <si>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</si>
  <si>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</si>
  <si>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</si>
  <si>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</si>
  <si>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</si>
  <si>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</si>
  <si>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</si>
  <si>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</si>
  <si>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</si>
  <si>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</si>
  <si>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</si>
  <si>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</si>
  <si>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</si>
  <si>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</si>
  <si>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</si>
  <si>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</si>
  <si>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</si>
  <si>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</si>
  <si>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</si>
  <si>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</si>
  <si>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</si>
  <si>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</si>
  <si>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</si>
  <si>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</si>
  <si>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</si>
  <si>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</si>
  <si>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</si>
  <si>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</si>
  <si>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</si>
  <si>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</si>
  <si>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</si>
  <si>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</si>
  <si>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</si>
  <si>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</si>
  <si>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</si>
  <si>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</si>
  <si>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</si>
  <si>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</si>
  <si>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</si>
  <si>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</si>
  <si>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</si>
  <si>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</si>
  <si>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</si>
  <si>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</si>
  <si>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</si>
  <si>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</si>
  <si>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</si>
  <si>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</si>
  <si>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</si>
  <si>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</si>
  <si>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</si>
  <si>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</si>
  <si>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</si>
  <si>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</si>
  <si>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</si>
  <si>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</si>
  <si>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</si>
  <si>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</si>
  <si>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</si>
  <si>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</si>
  <si>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</si>
  <si>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</si>
  <si>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</si>
  <si>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</si>
  <si>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</si>
  <si>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</si>
  <si>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</si>
  <si>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</si>
  <si>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</si>
  <si>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</si>
  <si>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</si>
  <si>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</si>
  <si>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</si>
  <si>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</si>
  <si>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</si>
  <si>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</si>
  <si>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</si>
  <si>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</si>
  <si>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</si>
  <si>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</si>
  <si>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</si>
  <si>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</si>
  <si>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</si>
  <si>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</si>
  <si>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</si>
  <si>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</si>
  <si>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</si>
  <si>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</si>
  <si>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</si>
  <si>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</si>
  <si>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</si>
  <si>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</si>
  <si>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</si>
  <si>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</si>
  <si>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</si>
  <si>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</si>
  <si>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</si>
  <si>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</si>
  <si>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</si>
  <si>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</si>
  <si>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</si>
  <si>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</si>
  <si>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</si>
  <si>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</si>
  <si>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</si>
  <si>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</si>
  <si>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</si>
  <si>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</si>
  <si>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</si>
  <si>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</si>
  <si>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</si>
  <si>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</si>
  <si>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</si>
  <si>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</si>
  <si>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</si>
  <si>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</si>
  <si>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</si>
  <si>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</si>
  <si>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</si>
  <si>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</si>
  <si>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</si>
  <si>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</si>
  <si>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</si>
  <si>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</si>
  <si>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</si>
  <si>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</si>
  <si>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</si>
  <si>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</si>
  <si>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</si>
  <si>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</si>
  <si>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</si>
  <si>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</si>
  <si>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</si>
  <si>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</si>
  <si>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</si>
  <si>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</si>
  <si>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</si>
  <si>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</si>
  <si>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</si>
  <si>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</si>
  <si>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</si>
  <si>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</si>
  <si>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</si>
  <si>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</si>
  <si>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</si>
  <si>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</si>
  <si>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</si>
  <si>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</si>
  <si>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</si>
  <si>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</si>
  <si>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</si>
  <si>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</si>
  <si>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</si>
  <si>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</si>
  <si>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</si>
  <si>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</si>
  <si>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</si>
  <si>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</si>
  <si>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</si>
  <si>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</si>
  <si>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</si>
  <si>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</si>
  <si>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</si>
  <si>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</si>
  <si>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</si>
  <si>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</si>
  <si>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</si>
  <si>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</si>
  <si>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</si>
  <si>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</si>
  <si>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</si>
  <si>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</si>
  <si>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</si>
  <si>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</si>
  <si>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</si>
  <si>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</si>
  <si>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</si>
  <si>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</si>
  <si>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</si>
  <si>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</si>
  <si>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</si>
  <si>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</si>
  <si>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</si>
  <si>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</si>
  <si>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</si>
  <si>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</si>
  <si>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</si>
  <si>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</si>
  <si>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</si>
  <si>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</si>
  <si>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</si>
  <si>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</si>
  <si>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</si>
  <si>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</si>
  <si>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</si>
  <si>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</si>
  <si>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</si>
  <si>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</si>
  <si>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</si>
  <si>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</si>
  <si>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</si>
  <si>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</si>
  <si>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</si>
  <si>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</si>
  <si>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</si>
  <si>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</si>
  <si>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</si>
  <si>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</si>
  <si>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</si>
  <si>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</si>
  <si>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</si>
  <si>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</si>
  <si>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</si>
  <si>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</si>
  <si>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</si>
  <si>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</si>
  <si>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</si>
  <si>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</si>
  <si>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</si>
  <si>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</si>
  <si>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</si>
  <si>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</si>
  <si>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</si>
  <si>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</si>
  <si>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</si>
  <si>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</si>
  <si>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</si>
  <si>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</si>
  <si>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</si>
  <si>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</si>
  <si>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</si>
  <si>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</si>
  <si>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</si>
  <si>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</si>
  <si>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</si>
  <si>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</si>
  <si>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</si>
  <si>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</si>
  <si>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</si>
  <si>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</si>
  <si>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</si>
  <si>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</si>
  <si>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</si>
  <si>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</si>
  <si>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</si>
  <si>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</si>
  <si>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</si>
  <si>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</si>
  <si>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</si>
  <si>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</si>
  <si>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</si>
  <si>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</si>
  <si>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</si>
  <si>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</si>
  <si>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</si>
  <si>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</si>
  <si>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</si>
  <si>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</si>
  <si>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</si>
  <si>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</si>
  <si>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37018</t>
  </si>
  <si>
    <t>WINGENE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</si>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</sst>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37018</v>
      </c>
      <c r="B6" s="386"/>
      <c r="C6" s="387"/>
    </row>
    <row r="7" spans="1:7" s="384" customFormat="1" ht="15.75" customHeight="1">
      <c r="A7" s="388" t="str">
        <f>txtMunicipality</f>
        <v>WINGENE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16193.639884196931</v>
      </c>
      <c r="D10" s="676">
        <f ca="1">tertiair!C16</f>
        <v>0</v>
      </c>
      <c r="E10" s="676">
        <f ca="1">tertiair!D16</f>
        <v>13238.725240101492</v>
      </c>
      <c r="F10" s="676">
        <f>tertiair!E16</f>
        <v>284.90873547421666</v>
      </c>
      <c r="G10" s="676">
        <f ca="1">tertiair!F16</f>
        <v>2844.1573925722678</v>
      </c>
      <c r="H10" s="676">
        <f>tertiair!G16</f>
        <v>0</v>
      </c>
      <c r="I10" s="676">
        <f>tertiair!H16</f>
        <v>0</v>
      </c>
      <c r="J10" s="676">
        <f>tertiair!I16</f>
        <v>0</v>
      </c>
      <c r="K10" s="676">
        <f>tertiair!J16</f>
        <v>0</v>
      </c>
      <c r="L10" s="676">
        <f>tertiair!K16</f>
        <v>0</v>
      </c>
      <c r="M10" s="676">
        <f ca="1">tertiair!L16</f>
        <v>0</v>
      </c>
      <c r="N10" s="676">
        <f>tertiair!M16</f>
        <v>0</v>
      </c>
      <c r="O10" s="676">
        <f ca="1">tertiair!N16</f>
        <v>547.53314685775922</v>
      </c>
      <c r="P10" s="676">
        <f>tertiair!O16</f>
        <v>0</v>
      </c>
      <c r="Q10" s="677">
        <f>tertiair!P16</f>
        <v>0</v>
      </c>
      <c r="R10" s="679">
        <f ca="1">SUM(C10:Q10)</f>
        <v>33108.964399202661</v>
      </c>
      <c r="S10" s="67"/>
    </row>
    <row r="11" spans="1:19" s="445" customFormat="1">
      <c r="A11" s="791" t="s">
        <v>220</v>
      </c>
      <c r="B11" s="796"/>
      <c r="C11" s="676">
        <f>huishoudens!B8</f>
        <v>26123.775126381177</v>
      </c>
      <c r="D11" s="676">
        <f>huishoudens!C8</f>
        <v>0</v>
      </c>
      <c r="E11" s="676">
        <f>huishoudens!D8</f>
        <v>39468.469023262929</v>
      </c>
      <c r="F11" s="676">
        <f>huishoudens!E8</f>
        <v>1442.1850416441325</v>
      </c>
      <c r="G11" s="676">
        <f>huishoudens!F8</f>
        <v>49228.114799709656</v>
      </c>
      <c r="H11" s="676">
        <f>huishoudens!G8</f>
        <v>0</v>
      </c>
      <c r="I11" s="676">
        <f>huishoudens!H8</f>
        <v>0</v>
      </c>
      <c r="J11" s="676">
        <f>huishoudens!I8</f>
        <v>0</v>
      </c>
      <c r="K11" s="676">
        <f>huishoudens!J8</f>
        <v>1108.4923378809674</v>
      </c>
      <c r="L11" s="676">
        <f>huishoudens!K8</f>
        <v>0</v>
      </c>
      <c r="M11" s="676">
        <f>huishoudens!L8</f>
        <v>0</v>
      </c>
      <c r="N11" s="676">
        <f>huishoudens!M8</f>
        <v>0</v>
      </c>
      <c r="O11" s="676">
        <f>huishoudens!N8</f>
        <v>6885.4137245059619</v>
      </c>
      <c r="P11" s="676">
        <f>huishoudens!O8</f>
        <v>56.280000000000008</v>
      </c>
      <c r="Q11" s="677">
        <f>huishoudens!P8</f>
        <v>190.66666666666669</v>
      </c>
      <c r="R11" s="679">
        <f>SUM(C11:Q11)</f>
        <v>124503.39672005149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28623.671835572219</v>
      </c>
      <c r="D13" s="676">
        <f>industrie!C18</f>
        <v>0</v>
      </c>
      <c r="E13" s="676">
        <f>industrie!D18</f>
        <v>32416.954047325155</v>
      </c>
      <c r="F13" s="676">
        <f>industrie!E18</f>
        <v>291.33079171697432</v>
      </c>
      <c r="G13" s="676">
        <f>industrie!F18</f>
        <v>7067.0449409364746</v>
      </c>
      <c r="H13" s="676">
        <f>industrie!G18</f>
        <v>0</v>
      </c>
      <c r="I13" s="676">
        <f>industrie!H18</f>
        <v>0</v>
      </c>
      <c r="J13" s="676">
        <f>industrie!I18</f>
        <v>0</v>
      </c>
      <c r="K13" s="676">
        <f>industrie!J18</f>
        <v>273.48461697407998</v>
      </c>
      <c r="L13" s="676">
        <f>industrie!K18</f>
        <v>0</v>
      </c>
      <c r="M13" s="676">
        <f>industrie!L18</f>
        <v>0</v>
      </c>
      <c r="N13" s="676">
        <f>industrie!M18</f>
        <v>0</v>
      </c>
      <c r="O13" s="676">
        <f>industrie!N18</f>
        <v>580.6178839734589</v>
      </c>
      <c r="P13" s="676">
        <f>industrie!O18</f>
        <v>0</v>
      </c>
      <c r="Q13" s="677">
        <f>industrie!P18</f>
        <v>0</v>
      </c>
      <c r="R13" s="679">
        <f>SUM(C13:Q13)</f>
        <v>69253.104116498362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70941.086846150327</v>
      </c>
      <c r="D16" s="709">
        <f t="shared" ref="D16:R16" ca="1" si="0">SUM(D9:D15)</f>
        <v>0</v>
      </c>
      <c r="E16" s="709">
        <f t="shared" ca="1" si="0"/>
        <v>85124.148310689576</v>
      </c>
      <c r="F16" s="709">
        <f t="shared" si="0"/>
        <v>2018.4245688353235</v>
      </c>
      <c r="G16" s="709">
        <f t="shared" ca="1" si="0"/>
        <v>59139.317133218399</v>
      </c>
      <c r="H16" s="709">
        <f t="shared" si="0"/>
        <v>0</v>
      </c>
      <c r="I16" s="709">
        <f t="shared" si="0"/>
        <v>0</v>
      </c>
      <c r="J16" s="709">
        <f t="shared" si="0"/>
        <v>0</v>
      </c>
      <c r="K16" s="709">
        <f t="shared" si="0"/>
        <v>1381.9769548550473</v>
      </c>
      <c r="L16" s="709">
        <f t="shared" si="0"/>
        <v>0</v>
      </c>
      <c r="M16" s="709">
        <f t="shared" ca="1" si="0"/>
        <v>0</v>
      </c>
      <c r="N16" s="709">
        <f t="shared" si="0"/>
        <v>0</v>
      </c>
      <c r="O16" s="709">
        <f t="shared" ca="1" si="0"/>
        <v>8013.56475533718</v>
      </c>
      <c r="P16" s="709">
        <f t="shared" si="0"/>
        <v>56.280000000000008</v>
      </c>
      <c r="Q16" s="709">
        <f t="shared" si="0"/>
        <v>190.66666666666669</v>
      </c>
      <c r="R16" s="709">
        <f t="shared" ca="1" si="0"/>
        <v>226865.46523575252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3.3959602021940998</v>
      </c>
      <c r="D19" s="676">
        <f>transport!C54</f>
        <v>0</v>
      </c>
      <c r="E19" s="676">
        <f>transport!D54</f>
        <v>0</v>
      </c>
      <c r="F19" s="676">
        <f>transport!E54</f>
        <v>0</v>
      </c>
      <c r="G19" s="676">
        <f>transport!F54</f>
        <v>0</v>
      </c>
      <c r="H19" s="676">
        <f>transport!G54</f>
        <v>736.71947090660331</v>
      </c>
      <c r="I19" s="676">
        <f>transport!H54</f>
        <v>0</v>
      </c>
      <c r="J19" s="676">
        <f>transport!I54</f>
        <v>0</v>
      </c>
      <c r="K19" s="676">
        <f>transport!J54</f>
        <v>0</v>
      </c>
      <c r="L19" s="676">
        <f>transport!K54</f>
        <v>0</v>
      </c>
      <c r="M19" s="676">
        <f>transport!L54</f>
        <v>0</v>
      </c>
      <c r="N19" s="676">
        <f>transport!M54</f>
        <v>31.543497821269423</v>
      </c>
      <c r="O19" s="676">
        <f>transport!N54</f>
        <v>0</v>
      </c>
      <c r="P19" s="676">
        <f>transport!O54</f>
        <v>0</v>
      </c>
      <c r="Q19" s="677">
        <f>transport!P54</f>
        <v>0</v>
      </c>
      <c r="R19" s="679">
        <f>SUM(C19:Q19)</f>
        <v>771.65892893006685</v>
      </c>
      <c r="S19" s="67"/>
    </row>
    <row r="20" spans="1:19" s="445" customFormat="1">
      <c r="A20" s="791" t="s">
        <v>302</v>
      </c>
      <c r="B20" s="796"/>
      <c r="C20" s="676">
        <f>transport!B14</f>
        <v>0.82806164353035472</v>
      </c>
      <c r="D20" s="676">
        <f>transport!C14</f>
        <v>0</v>
      </c>
      <c r="E20" s="676">
        <f>transport!D14</f>
        <v>2.9924291033512631</v>
      </c>
      <c r="F20" s="676">
        <f>transport!E14</f>
        <v>312.06455784723596</v>
      </c>
      <c r="G20" s="676">
        <f>transport!F14</f>
        <v>0</v>
      </c>
      <c r="H20" s="676">
        <f>transport!G14</f>
        <v>61349.911681744896</v>
      </c>
      <c r="I20" s="676">
        <f>transport!H14</f>
        <v>9806.3166216133122</v>
      </c>
      <c r="J20" s="676">
        <f>transport!I14</f>
        <v>0</v>
      </c>
      <c r="K20" s="676">
        <f>transport!J14</f>
        <v>0</v>
      </c>
      <c r="L20" s="676">
        <f>transport!K14</f>
        <v>0</v>
      </c>
      <c r="M20" s="676">
        <f>transport!L14</f>
        <v>0</v>
      </c>
      <c r="N20" s="676">
        <f>transport!M14</f>
        <v>3094.2400052439684</v>
      </c>
      <c r="O20" s="676">
        <f>transport!N14</f>
        <v>0</v>
      </c>
      <c r="P20" s="676">
        <f>transport!O14</f>
        <v>0</v>
      </c>
      <c r="Q20" s="677">
        <f>transport!P14</f>
        <v>0</v>
      </c>
      <c r="R20" s="679">
        <f>SUM(C20:Q20)</f>
        <v>74566.353357196291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4.2240218457244545</v>
      </c>
      <c r="D22" s="794">
        <f t="shared" ref="D22:R22" si="1">SUM(D18:D21)</f>
        <v>0</v>
      </c>
      <c r="E22" s="794">
        <f t="shared" si="1"/>
        <v>2.9924291033512631</v>
      </c>
      <c r="F22" s="794">
        <f t="shared" si="1"/>
        <v>312.06455784723596</v>
      </c>
      <c r="G22" s="794">
        <f t="shared" si="1"/>
        <v>0</v>
      </c>
      <c r="H22" s="794">
        <f t="shared" si="1"/>
        <v>62086.631152651498</v>
      </c>
      <c r="I22" s="794">
        <f t="shared" si="1"/>
        <v>9806.3166216133122</v>
      </c>
      <c r="J22" s="794">
        <f t="shared" si="1"/>
        <v>0</v>
      </c>
      <c r="K22" s="794">
        <f t="shared" si="1"/>
        <v>0</v>
      </c>
      <c r="L22" s="794">
        <f t="shared" si="1"/>
        <v>0</v>
      </c>
      <c r="M22" s="794">
        <f t="shared" si="1"/>
        <v>0</v>
      </c>
      <c r="N22" s="794">
        <f t="shared" si="1"/>
        <v>3125.7835030652377</v>
      </c>
      <c r="O22" s="794">
        <f t="shared" si="1"/>
        <v>0</v>
      </c>
      <c r="P22" s="794">
        <f t="shared" si="1"/>
        <v>0</v>
      </c>
      <c r="Q22" s="794">
        <f t="shared" si="1"/>
        <v>0</v>
      </c>
      <c r="R22" s="794">
        <f t="shared" si="1"/>
        <v>75338.012286126352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10246.201589325023</v>
      </c>
      <c r="D24" s="676">
        <f>+landbouw!C8</f>
        <v>0</v>
      </c>
      <c r="E24" s="676">
        <f>+landbouw!D8</f>
        <v>898.95166727594608</v>
      </c>
      <c r="F24" s="676">
        <f>+landbouw!E8</f>
        <v>107.30044125559756</v>
      </c>
      <c r="G24" s="676">
        <f>+landbouw!F8</f>
        <v>43861.528262048458</v>
      </c>
      <c r="H24" s="676">
        <f>+landbouw!G8</f>
        <v>0</v>
      </c>
      <c r="I24" s="676">
        <f>+landbouw!H8</f>
        <v>0</v>
      </c>
      <c r="J24" s="676">
        <f>+landbouw!I8</f>
        <v>0</v>
      </c>
      <c r="K24" s="676">
        <f>+landbouw!J8</f>
        <v>915.07764019829938</v>
      </c>
      <c r="L24" s="676">
        <f>+landbouw!K8</f>
        <v>0</v>
      </c>
      <c r="M24" s="676">
        <f>+landbouw!L8</f>
        <v>0</v>
      </c>
      <c r="N24" s="676">
        <f>+landbouw!M8</f>
        <v>0</v>
      </c>
      <c r="O24" s="676">
        <f>+landbouw!N8</f>
        <v>0</v>
      </c>
      <c r="P24" s="676">
        <f>+landbouw!O8</f>
        <v>0</v>
      </c>
      <c r="Q24" s="677">
        <f>+landbouw!P8</f>
        <v>0</v>
      </c>
      <c r="R24" s="679">
        <f>SUM(C24:Q24)</f>
        <v>56029.059600103326</v>
      </c>
      <c r="S24" s="67"/>
    </row>
    <row r="25" spans="1:19" s="445" customFormat="1" ht="15" thickBot="1">
      <c r="A25" s="813" t="s">
        <v>895</v>
      </c>
      <c r="B25" s="968"/>
      <c r="C25" s="969">
        <f>IF(Onbekend_ele_kWh="---",0,Onbekend_ele_kWh)/1000+IF(REST_rest_ele_kWh="---",0,REST_rest_ele_kWh)/1000</f>
        <v>1343.8385616120399</v>
      </c>
      <c r="D25" s="969"/>
      <c r="E25" s="969">
        <f>IF(onbekend_gas_kWh="---",0,onbekend_gas_kWh)/1000+IF(REST_rest_gas_kWh="---",0,REST_rest_gas_kWh)/1000</f>
        <v>1674.3368928982202</v>
      </c>
      <c r="F25" s="969"/>
      <c r="G25" s="969"/>
      <c r="H25" s="969"/>
      <c r="I25" s="969"/>
      <c r="J25" s="969"/>
      <c r="K25" s="969"/>
      <c r="L25" s="969"/>
      <c r="M25" s="969"/>
      <c r="N25" s="969"/>
      <c r="O25" s="969"/>
      <c r="P25" s="969"/>
      <c r="Q25" s="970"/>
      <c r="R25" s="679">
        <f>SUM(C25:Q25)</f>
        <v>3018.1754545102604</v>
      </c>
      <c r="S25" s="67"/>
    </row>
    <row r="26" spans="1:19" s="445" customFormat="1" ht="15.75" thickBot="1">
      <c r="A26" s="682" t="s">
        <v>896</v>
      </c>
      <c r="B26" s="799"/>
      <c r="C26" s="794">
        <f>SUM(C24:C25)</f>
        <v>11590.040150937062</v>
      </c>
      <c r="D26" s="794">
        <f t="shared" ref="D26:R26" si="2">SUM(D24:D25)</f>
        <v>0</v>
      </c>
      <c r="E26" s="794">
        <f t="shared" si="2"/>
        <v>2573.2885601741664</v>
      </c>
      <c r="F26" s="794">
        <f t="shared" si="2"/>
        <v>107.30044125559756</v>
      </c>
      <c r="G26" s="794">
        <f t="shared" si="2"/>
        <v>43861.528262048458</v>
      </c>
      <c r="H26" s="794">
        <f t="shared" si="2"/>
        <v>0</v>
      </c>
      <c r="I26" s="794">
        <f t="shared" si="2"/>
        <v>0</v>
      </c>
      <c r="J26" s="794">
        <f t="shared" si="2"/>
        <v>0</v>
      </c>
      <c r="K26" s="794">
        <f t="shared" si="2"/>
        <v>915.07764019829938</v>
      </c>
      <c r="L26" s="794">
        <f t="shared" si="2"/>
        <v>0</v>
      </c>
      <c r="M26" s="794">
        <f t="shared" si="2"/>
        <v>0</v>
      </c>
      <c r="N26" s="794">
        <f t="shared" si="2"/>
        <v>0</v>
      </c>
      <c r="O26" s="794">
        <f t="shared" si="2"/>
        <v>0</v>
      </c>
      <c r="P26" s="794">
        <f t="shared" si="2"/>
        <v>0</v>
      </c>
      <c r="Q26" s="794">
        <f t="shared" si="2"/>
        <v>0</v>
      </c>
      <c r="R26" s="794">
        <f t="shared" si="2"/>
        <v>59047.235054613586</v>
      </c>
      <c r="S26" s="67"/>
    </row>
    <row r="27" spans="1:19" s="445" customFormat="1" ht="17.25" thickTop="1" thickBot="1">
      <c r="A27" s="683" t="s">
        <v>115</v>
      </c>
      <c r="B27" s="786"/>
      <c r="C27" s="684">
        <f ca="1">C22+C16+C26</f>
        <v>82535.351018933114</v>
      </c>
      <c r="D27" s="684">
        <f t="shared" ref="D27:R27" ca="1" si="3">D22+D16+D26</f>
        <v>0</v>
      </c>
      <c r="E27" s="684">
        <f t="shared" ca="1" si="3"/>
        <v>87700.429299967102</v>
      </c>
      <c r="F27" s="684">
        <f t="shared" si="3"/>
        <v>2437.7895679381568</v>
      </c>
      <c r="G27" s="684">
        <f t="shared" ca="1" si="3"/>
        <v>103000.84539526686</v>
      </c>
      <c r="H27" s="684">
        <f t="shared" si="3"/>
        <v>62086.631152651498</v>
      </c>
      <c r="I27" s="684">
        <f t="shared" si="3"/>
        <v>9806.3166216133122</v>
      </c>
      <c r="J27" s="684">
        <f t="shared" si="3"/>
        <v>0</v>
      </c>
      <c r="K27" s="684">
        <f t="shared" si="3"/>
        <v>2297.0545950533469</v>
      </c>
      <c r="L27" s="684">
        <f t="shared" si="3"/>
        <v>0</v>
      </c>
      <c r="M27" s="684">
        <f t="shared" ca="1" si="3"/>
        <v>0</v>
      </c>
      <c r="N27" s="684">
        <f t="shared" si="3"/>
        <v>3125.7835030652377</v>
      </c>
      <c r="O27" s="684">
        <f t="shared" ca="1" si="3"/>
        <v>8013.56475533718</v>
      </c>
      <c r="P27" s="684">
        <f t="shared" si="3"/>
        <v>56.280000000000008</v>
      </c>
      <c r="Q27" s="684">
        <f t="shared" si="3"/>
        <v>190.66666666666669</v>
      </c>
      <c r="R27" s="684">
        <f t="shared" ca="1" si="3"/>
        <v>361250.71257649246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3453.1541039947692</v>
      </c>
      <c r="D40" s="676">
        <f ca="1">tertiair!C20</f>
        <v>0</v>
      </c>
      <c r="E40" s="676">
        <f ca="1">tertiair!D20</f>
        <v>2674.2224985005014</v>
      </c>
      <c r="F40" s="676">
        <f>tertiair!E20</f>
        <v>64.674282952647189</v>
      </c>
      <c r="G40" s="676">
        <f ca="1">tertiair!F20</f>
        <v>759.39002381679552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6951.4409092647138</v>
      </c>
    </row>
    <row r="41" spans="1:18">
      <c r="A41" s="804" t="s">
        <v>220</v>
      </c>
      <c r="B41" s="811"/>
      <c r="C41" s="676">
        <f ca="1">huishoudens!B12</f>
        <v>5570.6698391837963</v>
      </c>
      <c r="D41" s="676">
        <f ca="1">huishoudens!C12</f>
        <v>0</v>
      </c>
      <c r="E41" s="676">
        <f>huishoudens!D12</f>
        <v>7972.6307426991125</v>
      </c>
      <c r="F41" s="676">
        <f>huishoudens!E12</f>
        <v>327.37600445321812</v>
      </c>
      <c r="G41" s="676">
        <f>huishoudens!F12</f>
        <v>13143.906651522479</v>
      </c>
      <c r="H41" s="676">
        <f>huishoudens!G12</f>
        <v>0</v>
      </c>
      <c r="I41" s="676">
        <f>huishoudens!H12</f>
        <v>0</v>
      </c>
      <c r="J41" s="676">
        <f>huishoudens!I12</f>
        <v>0</v>
      </c>
      <c r="K41" s="676">
        <f>huishoudens!J12</f>
        <v>392.40628760986243</v>
      </c>
      <c r="L41" s="676">
        <f>huishoudens!K12</f>
        <v>0</v>
      </c>
      <c r="M41" s="676">
        <f>huishoudens!L12</f>
        <v>0</v>
      </c>
      <c r="N41" s="676">
        <f>huishoudens!M12</f>
        <v>0</v>
      </c>
      <c r="O41" s="676">
        <f>huishoudens!N12</f>
        <v>0</v>
      </c>
      <c r="P41" s="676">
        <f>huishoudens!O12</f>
        <v>0</v>
      </c>
      <c r="Q41" s="751">
        <f>huishoudens!P12</f>
        <v>0</v>
      </c>
      <c r="R41" s="832">
        <f t="shared" ca="1" si="4"/>
        <v>27406.989525468467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6103.7512614358984</v>
      </c>
      <c r="D43" s="676">
        <f ca="1">industrie!C22</f>
        <v>0</v>
      </c>
      <c r="E43" s="676">
        <f>industrie!D22</f>
        <v>6548.2247175596813</v>
      </c>
      <c r="F43" s="676">
        <f>industrie!E22</f>
        <v>66.132089719753168</v>
      </c>
      <c r="G43" s="676">
        <f>industrie!F22</f>
        <v>1886.9009992300389</v>
      </c>
      <c r="H43" s="676">
        <f>industrie!G22</f>
        <v>0</v>
      </c>
      <c r="I43" s="676">
        <f>industrie!H22</f>
        <v>0</v>
      </c>
      <c r="J43" s="676">
        <f>industrie!I22</f>
        <v>0</v>
      </c>
      <c r="K43" s="676">
        <f>industrie!J22</f>
        <v>96.813554408824302</v>
      </c>
      <c r="L43" s="676">
        <f>industrie!K22</f>
        <v>0</v>
      </c>
      <c r="M43" s="676">
        <f>industrie!L22</f>
        <v>0</v>
      </c>
      <c r="N43" s="676">
        <f>industrie!M22</f>
        <v>0</v>
      </c>
      <c r="O43" s="676">
        <f>industrie!N22</f>
        <v>0</v>
      </c>
      <c r="P43" s="676">
        <f>industrie!O22</f>
        <v>0</v>
      </c>
      <c r="Q43" s="751">
        <f>industrie!P22</f>
        <v>0</v>
      </c>
      <c r="R43" s="831">
        <f t="shared" ca="1" si="4"/>
        <v>14701.822622354195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15127.575204614464</v>
      </c>
      <c r="D46" s="709">
        <f t="shared" ref="D46:Q46" ca="1" si="5">SUM(D39:D45)</f>
        <v>0</v>
      </c>
      <c r="E46" s="709">
        <f t="shared" ca="1" si="5"/>
        <v>17195.077958759295</v>
      </c>
      <c r="F46" s="709">
        <f t="shared" si="5"/>
        <v>458.18237712561847</v>
      </c>
      <c r="G46" s="709">
        <f t="shared" ca="1" si="5"/>
        <v>15790.197674569314</v>
      </c>
      <c r="H46" s="709">
        <f t="shared" si="5"/>
        <v>0</v>
      </c>
      <c r="I46" s="709">
        <f t="shared" si="5"/>
        <v>0</v>
      </c>
      <c r="J46" s="709">
        <f t="shared" si="5"/>
        <v>0</v>
      </c>
      <c r="K46" s="709">
        <f t="shared" si="5"/>
        <v>489.21984201868673</v>
      </c>
      <c r="L46" s="709">
        <f t="shared" si="5"/>
        <v>0</v>
      </c>
      <c r="M46" s="709">
        <f t="shared" ca="1" si="5"/>
        <v>0</v>
      </c>
      <c r="N46" s="709">
        <f t="shared" si="5"/>
        <v>0</v>
      </c>
      <c r="O46" s="709">
        <f t="shared" ca="1" si="5"/>
        <v>0</v>
      </c>
      <c r="P46" s="709">
        <f t="shared" si="5"/>
        <v>0</v>
      </c>
      <c r="Q46" s="709">
        <f t="shared" si="5"/>
        <v>0</v>
      </c>
      <c r="R46" s="709">
        <f ca="1">SUM(R39:R45)</f>
        <v>49060.253057087371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0.72415923739624466</v>
      </c>
      <c r="D49" s="676">
        <f ca="1">transport!C58</f>
        <v>0</v>
      </c>
      <c r="E49" s="676">
        <f>transport!D58</f>
        <v>0</v>
      </c>
      <c r="F49" s="676">
        <f>transport!E58</f>
        <v>0</v>
      </c>
      <c r="G49" s="676">
        <f>transport!F58</f>
        <v>0</v>
      </c>
      <c r="H49" s="676">
        <f>transport!G58</f>
        <v>196.7040987320631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197.42825796945934</v>
      </c>
    </row>
    <row r="50" spans="1:18">
      <c r="A50" s="807" t="s">
        <v>302</v>
      </c>
      <c r="B50" s="817"/>
      <c r="C50" s="975">
        <f ca="1">transport!B18</f>
        <v>0.17657700697098719</v>
      </c>
      <c r="D50" s="975">
        <f>transport!C18</f>
        <v>0</v>
      </c>
      <c r="E50" s="975">
        <f>transport!D18</f>
        <v>0.60447067887695516</v>
      </c>
      <c r="F50" s="975">
        <f>transport!E18</f>
        <v>70.838654631322569</v>
      </c>
      <c r="G50" s="975">
        <f>transport!F18</f>
        <v>0</v>
      </c>
      <c r="H50" s="975">
        <f>transport!G18</f>
        <v>16380.426419025887</v>
      </c>
      <c r="I50" s="975">
        <f>transport!H18</f>
        <v>2441.7728387817147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18893.818960124772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0.90073624436723188</v>
      </c>
      <c r="D52" s="709">
        <f t="shared" ref="D52:Q52" ca="1" si="6">SUM(D48:D51)</f>
        <v>0</v>
      </c>
      <c r="E52" s="709">
        <f t="shared" si="6"/>
        <v>0.60447067887695516</v>
      </c>
      <c r="F52" s="709">
        <f t="shared" si="6"/>
        <v>70.838654631322569</v>
      </c>
      <c r="G52" s="709">
        <f t="shared" si="6"/>
        <v>0</v>
      </c>
      <c r="H52" s="709">
        <f t="shared" si="6"/>
        <v>16577.130517757949</v>
      </c>
      <c r="I52" s="709">
        <f t="shared" si="6"/>
        <v>2441.7728387817147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19091.247218094231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2184.9141589880464</v>
      </c>
      <c r="D54" s="975">
        <f ca="1">+landbouw!C12</f>
        <v>0</v>
      </c>
      <c r="E54" s="975">
        <f>+landbouw!D12</f>
        <v>181.58823678974113</v>
      </c>
      <c r="F54" s="975">
        <f>+landbouw!E12</f>
        <v>24.357200165020647</v>
      </c>
      <c r="G54" s="975">
        <f>+landbouw!F12</f>
        <v>11711.028045966939</v>
      </c>
      <c r="H54" s="975">
        <f>+landbouw!G12</f>
        <v>0</v>
      </c>
      <c r="I54" s="975">
        <f>+landbouw!H12</f>
        <v>0</v>
      </c>
      <c r="J54" s="975">
        <f>+landbouw!I12</f>
        <v>0</v>
      </c>
      <c r="K54" s="975">
        <f>+landbouw!J12</f>
        <v>323.93748463019796</v>
      </c>
      <c r="L54" s="975">
        <f>+landbouw!K12</f>
        <v>0</v>
      </c>
      <c r="M54" s="975">
        <f>+landbouw!L12</f>
        <v>0</v>
      </c>
      <c r="N54" s="975">
        <f>+landbouw!M12</f>
        <v>0</v>
      </c>
      <c r="O54" s="975">
        <f>+landbouw!N12</f>
        <v>0</v>
      </c>
      <c r="P54" s="975">
        <f>+landbouw!O12</f>
        <v>0</v>
      </c>
      <c r="Q54" s="976">
        <f>+landbouw!P12</f>
        <v>0</v>
      </c>
      <c r="R54" s="708">
        <f ca="1">SUM(C54:Q54)</f>
        <v>14425.825126539945</v>
      </c>
    </row>
    <row r="55" spans="1:18" ht="15" thickBot="1">
      <c r="A55" s="807" t="s">
        <v>895</v>
      </c>
      <c r="B55" s="817"/>
      <c r="C55" s="975">
        <f ca="1">C25*'EF ele_warmte'!B12</f>
        <v>286.56198836838416</v>
      </c>
      <c r="D55" s="975"/>
      <c r="E55" s="975">
        <f>E25*EF_CO2_aardgas</f>
        <v>338.21605236544048</v>
      </c>
      <c r="F55" s="975"/>
      <c r="G55" s="975"/>
      <c r="H55" s="975"/>
      <c r="I55" s="975"/>
      <c r="J55" s="975"/>
      <c r="K55" s="975"/>
      <c r="L55" s="975"/>
      <c r="M55" s="975"/>
      <c r="N55" s="975"/>
      <c r="O55" s="975"/>
      <c r="P55" s="975"/>
      <c r="Q55" s="976"/>
      <c r="R55" s="708">
        <f ca="1">SUM(C55:Q55)</f>
        <v>624.77804073382458</v>
      </c>
    </row>
    <row r="56" spans="1:18" ht="15.75" thickBot="1">
      <c r="A56" s="805" t="s">
        <v>896</v>
      </c>
      <c r="B56" s="818"/>
      <c r="C56" s="709">
        <f ca="1">SUM(C54:C55)</f>
        <v>2471.4761473564304</v>
      </c>
      <c r="D56" s="709">
        <f t="shared" ref="D56:Q56" ca="1" si="7">SUM(D54:D55)</f>
        <v>0</v>
      </c>
      <c r="E56" s="709">
        <f t="shared" si="7"/>
        <v>519.80428915518155</v>
      </c>
      <c r="F56" s="709">
        <f t="shared" si="7"/>
        <v>24.357200165020647</v>
      </c>
      <c r="G56" s="709">
        <f t="shared" si="7"/>
        <v>11711.028045966939</v>
      </c>
      <c r="H56" s="709">
        <f t="shared" si="7"/>
        <v>0</v>
      </c>
      <c r="I56" s="709">
        <f t="shared" si="7"/>
        <v>0</v>
      </c>
      <c r="J56" s="709">
        <f t="shared" si="7"/>
        <v>0</v>
      </c>
      <c r="K56" s="709">
        <f t="shared" si="7"/>
        <v>323.93748463019796</v>
      </c>
      <c r="L56" s="709">
        <f t="shared" si="7"/>
        <v>0</v>
      </c>
      <c r="M56" s="709">
        <f t="shared" si="7"/>
        <v>0</v>
      </c>
      <c r="N56" s="709">
        <f t="shared" si="7"/>
        <v>0</v>
      </c>
      <c r="O56" s="709">
        <f t="shared" si="7"/>
        <v>0</v>
      </c>
      <c r="P56" s="709">
        <f t="shared" si="7"/>
        <v>0</v>
      </c>
      <c r="Q56" s="710">
        <f t="shared" si="7"/>
        <v>0</v>
      </c>
      <c r="R56" s="711">
        <f ca="1">SUM(R54:R55)</f>
        <v>15050.60316727377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17599.952088215265</v>
      </c>
      <c r="D61" s="717">
        <f t="shared" ref="D61:Q61" ca="1" si="8">D46+D52+D56</f>
        <v>0</v>
      </c>
      <c r="E61" s="717">
        <f t="shared" ca="1" si="8"/>
        <v>17715.486718593354</v>
      </c>
      <c r="F61" s="717">
        <f t="shared" si="8"/>
        <v>553.37823192196174</v>
      </c>
      <c r="G61" s="717">
        <f t="shared" ca="1" si="8"/>
        <v>27501.225720536255</v>
      </c>
      <c r="H61" s="717">
        <f t="shared" si="8"/>
        <v>16577.130517757949</v>
      </c>
      <c r="I61" s="717">
        <f t="shared" si="8"/>
        <v>2441.7728387817147</v>
      </c>
      <c r="J61" s="717">
        <f t="shared" si="8"/>
        <v>0</v>
      </c>
      <c r="K61" s="717">
        <f t="shared" si="8"/>
        <v>813.15732664888469</v>
      </c>
      <c r="L61" s="717">
        <f t="shared" si="8"/>
        <v>0</v>
      </c>
      <c r="M61" s="717">
        <f t="shared" ca="1" si="8"/>
        <v>0</v>
      </c>
      <c r="N61" s="717">
        <f t="shared" si="8"/>
        <v>0</v>
      </c>
      <c r="O61" s="717">
        <f t="shared" ca="1" si="8"/>
        <v>0</v>
      </c>
      <c r="P61" s="717">
        <f t="shared" si="8"/>
        <v>0</v>
      </c>
      <c r="Q61" s="717">
        <f t="shared" si="8"/>
        <v>0</v>
      </c>
      <c r="R61" s="717">
        <f ca="1">R46+R52+R56</f>
        <v>83202.10344245538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0.21324137925066727</v>
      </c>
      <c r="D63" s="761">
        <f t="shared" ca="1" si="9"/>
        <v>0</v>
      </c>
      <c r="E63" s="977">
        <f t="shared" ca="1" si="9"/>
        <v>0.20200000000000001</v>
      </c>
      <c r="F63" s="761">
        <f t="shared" si="9"/>
        <v>0.22700000000000006</v>
      </c>
      <c r="G63" s="761">
        <f t="shared" ca="1" si="9"/>
        <v>0.26700000000000002</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2897.5587645654132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2897.5587645654132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26123.775126381177</v>
      </c>
      <c r="C4" s="449">
        <f>huishoudens!C8</f>
        <v>0</v>
      </c>
      <c r="D4" s="449">
        <f>huishoudens!D8</f>
        <v>39468.469023262929</v>
      </c>
      <c r="E4" s="449">
        <f>huishoudens!E8</f>
        <v>1442.1850416441325</v>
      </c>
      <c r="F4" s="449">
        <f>huishoudens!F8</f>
        <v>49228.114799709656</v>
      </c>
      <c r="G4" s="449">
        <f>huishoudens!G8</f>
        <v>0</v>
      </c>
      <c r="H4" s="449">
        <f>huishoudens!H8</f>
        <v>0</v>
      </c>
      <c r="I4" s="449">
        <f>huishoudens!I8</f>
        <v>0</v>
      </c>
      <c r="J4" s="449">
        <f>huishoudens!J8</f>
        <v>1108.4923378809674</v>
      </c>
      <c r="K4" s="449">
        <f>huishoudens!K8</f>
        <v>0</v>
      </c>
      <c r="L4" s="449">
        <f>huishoudens!L8</f>
        <v>0</v>
      </c>
      <c r="M4" s="449">
        <f>huishoudens!M8</f>
        <v>0</v>
      </c>
      <c r="N4" s="449">
        <f>huishoudens!N8</f>
        <v>6885.4137245059619</v>
      </c>
      <c r="O4" s="449">
        <f>huishoudens!O8</f>
        <v>56.280000000000008</v>
      </c>
      <c r="P4" s="450">
        <f>huishoudens!P8</f>
        <v>190.66666666666669</v>
      </c>
      <c r="Q4" s="451">
        <f>SUM(B4:P4)</f>
        <v>124503.39672005149</v>
      </c>
    </row>
    <row r="5" spans="1:17">
      <c r="A5" s="448" t="s">
        <v>155</v>
      </c>
      <c r="B5" s="449">
        <f ca="1">tertiair!B16</f>
        <v>15165.793884196932</v>
      </c>
      <c r="C5" s="449">
        <f ca="1">tertiair!C16</f>
        <v>0</v>
      </c>
      <c r="D5" s="449">
        <f ca="1">tertiair!D16</f>
        <v>13238.725240101492</v>
      </c>
      <c r="E5" s="449">
        <f>tertiair!E16</f>
        <v>284.90873547421666</v>
      </c>
      <c r="F5" s="449">
        <f ca="1">tertiair!F16</f>
        <v>2844.1573925722678</v>
      </c>
      <c r="G5" s="449">
        <f>tertiair!G16</f>
        <v>0</v>
      </c>
      <c r="H5" s="449">
        <f>tertiair!H16</f>
        <v>0</v>
      </c>
      <c r="I5" s="449">
        <f>tertiair!I16</f>
        <v>0</v>
      </c>
      <c r="J5" s="449">
        <f>tertiair!J16</f>
        <v>0</v>
      </c>
      <c r="K5" s="449">
        <f>tertiair!K16</f>
        <v>0</v>
      </c>
      <c r="L5" s="449">
        <f ca="1">tertiair!L16</f>
        <v>0</v>
      </c>
      <c r="M5" s="449">
        <f>tertiair!M16</f>
        <v>0</v>
      </c>
      <c r="N5" s="449">
        <f ca="1">tertiair!N16</f>
        <v>547.53314685775922</v>
      </c>
      <c r="O5" s="449">
        <f>tertiair!O16</f>
        <v>0</v>
      </c>
      <c r="P5" s="450">
        <f>tertiair!P16</f>
        <v>0</v>
      </c>
      <c r="Q5" s="448">
        <f t="shared" ref="Q5:Q14" ca="1" si="0">SUM(B5:P5)</f>
        <v>32081.118399202667</v>
      </c>
    </row>
    <row r="6" spans="1:17">
      <c r="A6" s="448" t="s">
        <v>193</v>
      </c>
      <c r="B6" s="449">
        <f>'openbare verlichting'!B8</f>
        <v>1027.846</v>
      </c>
      <c r="C6" s="449"/>
      <c r="D6" s="449"/>
      <c r="E6" s="449"/>
      <c r="F6" s="449"/>
      <c r="G6" s="449"/>
      <c r="H6" s="449"/>
      <c r="I6" s="449"/>
      <c r="J6" s="449"/>
      <c r="K6" s="449"/>
      <c r="L6" s="449"/>
      <c r="M6" s="449"/>
      <c r="N6" s="449"/>
      <c r="O6" s="449"/>
      <c r="P6" s="450"/>
      <c r="Q6" s="448">
        <f t="shared" si="0"/>
        <v>1027.846</v>
      </c>
    </row>
    <row r="7" spans="1:17">
      <c r="A7" s="448" t="s">
        <v>111</v>
      </c>
      <c r="B7" s="449">
        <f>landbouw!B8</f>
        <v>10246.201589325023</v>
      </c>
      <c r="C7" s="449">
        <f>landbouw!C8</f>
        <v>0</v>
      </c>
      <c r="D7" s="449">
        <f>landbouw!D8</f>
        <v>898.95166727594608</v>
      </c>
      <c r="E7" s="449">
        <f>landbouw!E8</f>
        <v>107.30044125559756</v>
      </c>
      <c r="F7" s="449">
        <f>landbouw!F8</f>
        <v>43861.528262048458</v>
      </c>
      <c r="G7" s="449">
        <f>landbouw!G8</f>
        <v>0</v>
      </c>
      <c r="H7" s="449">
        <f>landbouw!H8</f>
        <v>0</v>
      </c>
      <c r="I7" s="449">
        <f>landbouw!I8</f>
        <v>0</v>
      </c>
      <c r="J7" s="449">
        <f>landbouw!J8</f>
        <v>915.07764019829938</v>
      </c>
      <c r="K7" s="449">
        <f>landbouw!K8</f>
        <v>0</v>
      </c>
      <c r="L7" s="449">
        <f>landbouw!L8</f>
        <v>0</v>
      </c>
      <c r="M7" s="449">
        <f>landbouw!M8</f>
        <v>0</v>
      </c>
      <c r="N7" s="449">
        <f>landbouw!N8</f>
        <v>0</v>
      </c>
      <c r="O7" s="449">
        <f>landbouw!O8</f>
        <v>0</v>
      </c>
      <c r="P7" s="450">
        <f>landbouw!P8</f>
        <v>0</v>
      </c>
      <c r="Q7" s="448">
        <f t="shared" si="0"/>
        <v>56029.059600103326</v>
      </c>
    </row>
    <row r="8" spans="1:17">
      <c r="A8" s="448" t="s">
        <v>643</v>
      </c>
      <c r="B8" s="449">
        <f>industrie!B18</f>
        <v>28623.671835572219</v>
      </c>
      <c r="C8" s="449">
        <f>industrie!C18</f>
        <v>0</v>
      </c>
      <c r="D8" s="449">
        <f>industrie!D18</f>
        <v>32416.954047325155</v>
      </c>
      <c r="E8" s="449">
        <f>industrie!E18</f>
        <v>291.33079171697432</v>
      </c>
      <c r="F8" s="449">
        <f>industrie!F18</f>
        <v>7067.0449409364746</v>
      </c>
      <c r="G8" s="449">
        <f>industrie!G18</f>
        <v>0</v>
      </c>
      <c r="H8" s="449">
        <f>industrie!H18</f>
        <v>0</v>
      </c>
      <c r="I8" s="449">
        <f>industrie!I18</f>
        <v>0</v>
      </c>
      <c r="J8" s="449">
        <f>industrie!J18</f>
        <v>273.48461697407998</v>
      </c>
      <c r="K8" s="449">
        <f>industrie!K18</f>
        <v>0</v>
      </c>
      <c r="L8" s="449">
        <f>industrie!L18</f>
        <v>0</v>
      </c>
      <c r="M8" s="449">
        <f>industrie!M18</f>
        <v>0</v>
      </c>
      <c r="N8" s="449">
        <f>industrie!N18</f>
        <v>580.6178839734589</v>
      </c>
      <c r="O8" s="449">
        <f>industrie!O18</f>
        <v>0</v>
      </c>
      <c r="P8" s="450">
        <f>industrie!P18</f>
        <v>0</v>
      </c>
      <c r="Q8" s="448">
        <f t="shared" si="0"/>
        <v>69253.104116498362</v>
      </c>
    </row>
    <row r="9" spans="1:17" s="454" customFormat="1">
      <c r="A9" s="452" t="s">
        <v>562</v>
      </c>
      <c r="B9" s="453">
        <f>transport!B14</f>
        <v>0.82806164353035472</v>
      </c>
      <c r="C9" s="453">
        <f>transport!C14</f>
        <v>0</v>
      </c>
      <c r="D9" s="453">
        <f>transport!D14</f>
        <v>2.9924291033512631</v>
      </c>
      <c r="E9" s="453">
        <f>transport!E14</f>
        <v>312.06455784723596</v>
      </c>
      <c r="F9" s="453">
        <f>transport!F14</f>
        <v>0</v>
      </c>
      <c r="G9" s="453">
        <f>transport!G14</f>
        <v>61349.911681744896</v>
      </c>
      <c r="H9" s="453">
        <f>transport!H14</f>
        <v>9806.3166216133122</v>
      </c>
      <c r="I9" s="453">
        <f>transport!I14</f>
        <v>0</v>
      </c>
      <c r="J9" s="453">
        <f>transport!J14</f>
        <v>0</v>
      </c>
      <c r="K9" s="453">
        <f>transport!K14</f>
        <v>0</v>
      </c>
      <c r="L9" s="453">
        <f>transport!L14</f>
        <v>0</v>
      </c>
      <c r="M9" s="453">
        <f>transport!M14</f>
        <v>3094.2400052439684</v>
      </c>
      <c r="N9" s="453">
        <f>transport!N14</f>
        <v>0</v>
      </c>
      <c r="O9" s="453">
        <f>transport!O14</f>
        <v>0</v>
      </c>
      <c r="P9" s="453">
        <f>transport!P14</f>
        <v>0</v>
      </c>
      <c r="Q9" s="452">
        <f>SUM(B9:P9)</f>
        <v>74566.353357196291</v>
      </c>
    </row>
    <row r="10" spans="1:17">
      <c r="A10" s="448" t="s">
        <v>552</v>
      </c>
      <c r="B10" s="449">
        <f>transport!B54</f>
        <v>3.3959602021940998</v>
      </c>
      <c r="C10" s="449">
        <f>transport!C54</f>
        <v>0</v>
      </c>
      <c r="D10" s="449">
        <f>transport!D54</f>
        <v>0</v>
      </c>
      <c r="E10" s="449">
        <f>transport!E54</f>
        <v>0</v>
      </c>
      <c r="F10" s="449">
        <f>transport!F54</f>
        <v>0</v>
      </c>
      <c r="G10" s="449">
        <f>transport!G54</f>
        <v>736.71947090660331</v>
      </c>
      <c r="H10" s="449">
        <f>transport!H54</f>
        <v>0</v>
      </c>
      <c r="I10" s="449">
        <f>transport!I54</f>
        <v>0</v>
      </c>
      <c r="J10" s="449">
        <f>transport!J54</f>
        <v>0</v>
      </c>
      <c r="K10" s="449">
        <f>transport!K54</f>
        <v>0</v>
      </c>
      <c r="L10" s="449">
        <f>transport!L54</f>
        <v>0</v>
      </c>
      <c r="M10" s="449">
        <f>transport!M54</f>
        <v>31.543497821269423</v>
      </c>
      <c r="N10" s="449">
        <f>transport!N54</f>
        <v>0</v>
      </c>
      <c r="O10" s="449">
        <f>transport!O54</f>
        <v>0</v>
      </c>
      <c r="P10" s="450">
        <f>transport!P54</f>
        <v>0</v>
      </c>
      <c r="Q10" s="448">
        <f t="shared" si="0"/>
        <v>771.65892893006685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1343.8385616120399</v>
      </c>
      <c r="C14" s="456"/>
      <c r="D14" s="456">
        <f>'SEAP template'!E25</f>
        <v>1674.3368928982202</v>
      </c>
      <c r="E14" s="456"/>
      <c r="F14" s="456"/>
      <c r="G14" s="456"/>
      <c r="H14" s="456"/>
      <c r="I14" s="456"/>
      <c r="J14" s="456"/>
      <c r="K14" s="456"/>
      <c r="L14" s="456"/>
      <c r="M14" s="456"/>
      <c r="N14" s="456"/>
      <c r="O14" s="456"/>
      <c r="P14" s="457"/>
      <c r="Q14" s="448">
        <f t="shared" si="0"/>
        <v>3018.1754545102604</v>
      </c>
    </row>
    <row r="15" spans="1:17" s="461" customFormat="1">
      <c r="A15" s="458" t="s">
        <v>556</v>
      </c>
      <c r="B15" s="459">
        <f ca="1">SUM(B4:B14)</f>
        <v>82535.351018933114</v>
      </c>
      <c r="C15" s="459">
        <f t="shared" ref="C15:Q15" ca="1" si="1">SUM(C4:C14)</f>
        <v>0</v>
      </c>
      <c r="D15" s="459">
        <f t="shared" ca="1" si="1"/>
        <v>87700.429299967102</v>
      </c>
      <c r="E15" s="459">
        <f t="shared" si="1"/>
        <v>2437.7895679381572</v>
      </c>
      <c r="F15" s="459">
        <f t="shared" ca="1" si="1"/>
        <v>103000.84539526686</v>
      </c>
      <c r="G15" s="459">
        <f t="shared" si="1"/>
        <v>62086.631152651498</v>
      </c>
      <c r="H15" s="459">
        <f t="shared" si="1"/>
        <v>9806.3166216133122</v>
      </c>
      <c r="I15" s="459">
        <f t="shared" si="1"/>
        <v>0</v>
      </c>
      <c r="J15" s="459">
        <f t="shared" si="1"/>
        <v>2297.0545950533469</v>
      </c>
      <c r="K15" s="459">
        <f t="shared" si="1"/>
        <v>0</v>
      </c>
      <c r="L15" s="459">
        <f t="shared" ca="1" si="1"/>
        <v>0</v>
      </c>
      <c r="M15" s="459">
        <f t="shared" si="1"/>
        <v>3125.7835030652377</v>
      </c>
      <c r="N15" s="459">
        <f t="shared" ca="1" si="1"/>
        <v>8013.56475533718</v>
      </c>
      <c r="O15" s="459">
        <f t="shared" si="1"/>
        <v>56.280000000000008</v>
      </c>
      <c r="P15" s="459">
        <f t="shared" si="1"/>
        <v>190.66666666666669</v>
      </c>
      <c r="Q15" s="459">
        <f t="shared" ca="1" si="1"/>
        <v>361250.71257649246</v>
      </c>
    </row>
    <row r="17" spans="1:17">
      <c r="A17" s="462" t="s">
        <v>557</v>
      </c>
      <c r="B17" s="766">
        <f ca="1">huishoudens!B10</f>
        <v>0.21324137925066725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5570.6698391837963</v>
      </c>
      <c r="C22" s="449">
        <f t="shared" ref="C22:C32" ca="1" si="3">C4*$C$17</f>
        <v>0</v>
      </c>
      <c r="D22" s="449">
        <f t="shared" ref="D22:D32" si="4">D4*$D$17</f>
        <v>7972.6307426991125</v>
      </c>
      <c r="E22" s="449">
        <f t="shared" ref="E22:E32" si="5">E4*$E$17</f>
        <v>327.37600445321812</v>
      </c>
      <c r="F22" s="449">
        <f t="shared" ref="F22:F32" si="6">F4*$F$17</f>
        <v>13143.906651522479</v>
      </c>
      <c r="G22" s="449">
        <f t="shared" ref="G22:G32" si="7">G4*$G$17</f>
        <v>0</v>
      </c>
      <c r="H22" s="449">
        <f t="shared" ref="H22:H32" si="8">H4*$H$17</f>
        <v>0</v>
      </c>
      <c r="I22" s="449">
        <f t="shared" ref="I22:I32" si="9">I4*$I$17</f>
        <v>0</v>
      </c>
      <c r="J22" s="449">
        <f t="shared" ref="J22:J32" si="10">J4*$J$17</f>
        <v>392.40628760986243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27406.989525468467</v>
      </c>
    </row>
    <row r="23" spans="1:17">
      <c r="A23" s="448" t="s">
        <v>155</v>
      </c>
      <c r="B23" s="449">
        <f t="shared" ca="1" si="2"/>
        <v>3233.9748052974878</v>
      </c>
      <c r="C23" s="449">
        <f t="shared" ca="1" si="3"/>
        <v>0</v>
      </c>
      <c r="D23" s="449">
        <f t="shared" ca="1" si="4"/>
        <v>2674.2224985005014</v>
      </c>
      <c r="E23" s="449">
        <f t="shared" si="5"/>
        <v>64.674282952647189</v>
      </c>
      <c r="F23" s="449">
        <f t="shared" ca="1" si="6"/>
        <v>759.39002381679552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6732.2616105674324</v>
      </c>
    </row>
    <row r="24" spans="1:17">
      <c r="A24" s="448" t="s">
        <v>193</v>
      </c>
      <c r="B24" s="449">
        <f t="shared" ca="1" si="2"/>
        <v>219.17929869728133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219.17929869728133</v>
      </c>
    </row>
    <row r="25" spans="1:17">
      <c r="A25" s="448" t="s">
        <v>111</v>
      </c>
      <c r="B25" s="449">
        <f t="shared" ca="1" si="2"/>
        <v>2184.9141589880464</v>
      </c>
      <c r="C25" s="449">
        <f t="shared" ca="1" si="3"/>
        <v>0</v>
      </c>
      <c r="D25" s="449">
        <f t="shared" si="4"/>
        <v>181.58823678974113</v>
      </c>
      <c r="E25" s="449">
        <f t="shared" si="5"/>
        <v>24.357200165020647</v>
      </c>
      <c r="F25" s="449">
        <f t="shared" si="6"/>
        <v>11711.028045966939</v>
      </c>
      <c r="G25" s="449">
        <f t="shared" si="7"/>
        <v>0</v>
      </c>
      <c r="H25" s="449">
        <f t="shared" si="8"/>
        <v>0</v>
      </c>
      <c r="I25" s="449">
        <f t="shared" si="9"/>
        <v>0</v>
      </c>
      <c r="J25" s="449">
        <f t="shared" si="10"/>
        <v>323.93748463019796</v>
      </c>
      <c r="K25" s="449">
        <f t="shared" si="11"/>
        <v>0</v>
      </c>
      <c r="L25" s="449">
        <f t="shared" si="12"/>
        <v>0</v>
      </c>
      <c r="M25" s="449">
        <f t="shared" si="13"/>
        <v>0</v>
      </c>
      <c r="N25" s="449">
        <f t="shared" si="14"/>
        <v>0</v>
      </c>
      <c r="O25" s="449">
        <f t="shared" si="15"/>
        <v>0</v>
      </c>
      <c r="P25" s="450">
        <f t="shared" si="16"/>
        <v>0</v>
      </c>
      <c r="Q25" s="448">
        <f t="shared" ca="1" si="17"/>
        <v>14425.825126539945</v>
      </c>
    </row>
    <row r="26" spans="1:17">
      <c r="A26" s="448" t="s">
        <v>643</v>
      </c>
      <c r="B26" s="449">
        <f t="shared" ca="1" si="2"/>
        <v>6103.7512614358984</v>
      </c>
      <c r="C26" s="449">
        <f t="shared" ca="1" si="3"/>
        <v>0</v>
      </c>
      <c r="D26" s="449">
        <f t="shared" si="4"/>
        <v>6548.2247175596813</v>
      </c>
      <c r="E26" s="449">
        <f t="shared" si="5"/>
        <v>66.132089719753168</v>
      </c>
      <c r="F26" s="449">
        <f t="shared" si="6"/>
        <v>1886.9009992300389</v>
      </c>
      <c r="G26" s="449">
        <f t="shared" si="7"/>
        <v>0</v>
      </c>
      <c r="H26" s="449">
        <f t="shared" si="8"/>
        <v>0</v>
      </c>
      <c r="I26" s="449">
        <f t="shared" si="9"/>
        <v>0</v>
      </c>
      <c r="J26" s="449">
        <f t="shared" si="10"/>
        <v>96.813554408824302</v>
      </c>
      <c r="K26" s="449">
        <f t="shared" si="11"/>
        <v>0</v>
      </c>
      <c r="L26" s="449">
        <f t="shared" si="12"/>
        <v>0</v>
      </c>
      <c r="M26" s="449">
        <f t="shared" si="13"/>
        <v>0</v>
      </c>
      <c r="N26" s="449">
        <f t="shared" si="14"/>
        <v>0</v>
      </c>
      <c r="O26" s="449">
        <f t="shared" si="15"/>
        <v>0</v>
      </c>
      <c r="P26" s="450">
        <f t="shared" si="16"/>
        <v>0</v>
      </c>
      <c r="Q26" s="448">
        <f t="shared" ca="1" si="17"/>
        <v>14701.822622354195</v>
      </c>
    </row>
    <row r="27" spans="1:17" s="454" customFormat="1">
      <c r="A27" s="452" t="s">
        <v>562</v>
      </c>
      <c r="B27" s="760">
        <f t="shared" ca="1" si="2"/>
        <v>0.17657700697098719</v>
      </c>
      <c r="C27" s="453">
        <f t="shared" ca="1" si="3"/>
        <v>0</v>
      </c>
      <c r="D27" s="453">
        <f t="shared" si="4"/>
        <v>0.60447067887695516</v>
      </c>
      <c r="E27" s="453">
        <f t="shared" si="5"/>
        <v>70.838654631322569</v>
      </c>
      <c r="F27" s="453">
        <f t="shared" si="6"/>
        <v>0</v>
      </c>
      <c r="G27" s="453">
        <f t="shared" si="7"/>
        <v>16380.426419025887</v>
      </c>
      <c r="H27" s="453">
        <f t="shared" si="8"/>
        <v>2441.7728387817147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18893.818960124772</v>
      </c>
    </row>
    <row r="28" spans="1:17">
      <c r="A28" s="448" t="s">
        <v>552</v>
      </c>
      <c r="B28" s="449">
        <f t="shared" ca="1" si="2"/>
        <v>0.72415923739624466</v>
      </c>
      <c r="C28" s="449">
        <f t="shared" ca="1" si="3"/>
        <v>0</v>
      </c>
      <c r="D28" s="449">
        <f t="shared" si="4"/>
        <v>0</v>
      </c>
      <c r="E28" s="449">
        <f t="shared" si="5"/>
        <v>0</v>
      </c>
      <c r="F28" s="449">
        <f t="shared" si="6"/>
        <v>0</v>
      </c>
      <c r="G28" s="449">
        <f t="shared" si="7"/>
        <v>196.7040987320631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197.42825796945934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286.56198836838416</v>
      </c>
      <c r="C32" s="449">
        <f t="shared" ca="1" si="3"/>
        <v>0</v>
      </c>
      <c r="D32" s="449">
        <f t="shared" si="4"/>
        <v>338.21605236544048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624.77804073382458</v>
      </c>
    </row>
    <row r="33" spans="1:17" s="461" customFormat="1">
      <c r="A33" s="458" t="s">
        <v>556</v>
      </c>
      <c r="B33" s="459">
        <f ca="1">SUM(B22:B32)</f>
        <v>17599.952088215261</v>
      </c>
      <c r="C33" s="459">
        <f t="shared" ref="C33:Q33" ca="1" si="19">SUM(C22:C32)</f>
        <v>0</v>
      </c>
      <c r="D33" s="459">
        <f t="shared" ca="1" si="19"/>
        <v>17715.486718593354</v>
      </c>
      <c r="E33" s="459">
        <f t="shared" si="19"/>
        <v>553.37823192196174</v>
      </c>
      <c r="F33" s="459">
        <f t="shared" ca="1" si="19"/>
        <v>27501.225720536251</v>
      </c>
      <c r="G33" s="459">
        <f t="shared" si="19"/>
        <v>16577.130517757949</v>
      </c>
      <c r="H33" s="459">
        <f t="shared" si="19"/>
        <v>2441.7728387817147</v>
      </c>
      <c r="I33" s="459">
        <f t="shared" si="19"/>
        <v>0</v>
      </c>
      <c r="J33" s="459">
        <f t="shared" si="19"/>
        <v>813.15732664888469</v>
      </c>
      <c r="K33" s="459">
        <f t="shared" si="19"/>
        <v>0</v>
      </c>
      <c r="L33" s="459">
        <f t="shared" ca="1" si="19"/>
        <v>0</v>
      </c>
      <c r="M33" s="459">
        <f t="shared" si="19"/>
        <v>0</v>
      </c>
      <c r="N33" s="459">
        <f t="shared" ca="1" si="19"/>
        <v>0</v>
      </c>
      <c r="O33" s="459">
        <f t="shared" si="19"/>
        <v>0</v>
      </c>
      <c r="P33" s="459">
        <f t="shared" si="19"/>
        <v>0</v>
      </c>
      <c r="Q33" s="459">
        <f t="shared" ca="1" si="19"/>
        <v>83202.103442455365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2897.5587645654132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2897.5587645654132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0.21324137925066725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0.21324137925066725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0.21324137925066725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0.21324137925066725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5503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4770</v>
      </c>
      <c r="C14" s="326"/>
      <c r="D14" s="326"/>
      <c r="E14" s="326"/>
      <c r="F14" s="326"/>
    </row>
    <row r="15" spans="1:6">
      <c r="A15" s="1282" t="s">
        <v>183</v>
      </c>
      <c r="B15" s="1283">
        <v>671</v>
      </c>
      <c r="C15" s="326"/>
      <c r="D15" s="326"/>
      <c r="E15" s="326"/>
      <c r="F15" s="326"/>
    </row>
    <row r="16" spans="1:6">
      <c r="A16" s="1282" t="s">
        <v>6</v>
      </c>
      <c r="B16" s="1283">
        <v>2705</v>
      </c>
      <c r="C16" s="326"/>
      <c r="D16" s="326"/>
      <c r="E16" s="326"/>
      <c r="F16" s="326"/>
    </row>
    <row r="17" spans="1:6">
      <c r="A17" s="1282" t="s">
        <v>7</v>
      </c>
      <c r="B17" s="1283">
        <v>2456</v>
      </c>
      <c r="C17" s="326"/>
      <c r="D17" s="326"/>
      <c r="E17" s="326"/>
      <c r="F17" s="326"/>
    </row>
    <row r="18" spans="1:6">
      <c r="A18" s="1282" t="s">
        <v>8</v>
      </c>
      <c r="B18" s="1283">
        <v>3126</v>
      </c>
      <c r="C18" s="326"/>
      <c r="D18" s="326"/>
      <c r="E18" s="326"/>
      <c r="F18" s="326"/>
    </row>
    <row r="19" spans="1:6">
      <c r="A19" s="1282" t="s">
        <v>9</v>
      </c>
      <c r="B19" s="1283">
        <v>3036</v>
      </c>
      <c r="C19" s="326"/>
      <c r="D19" s="326"/>
      <c r="E19" s="326"/>
      <c r="F19" s="326"/>
    </row>
    <row r="20" spans="1:6">
      <c r="A20" s="1282" t="s">
        <v>10</v>
      </c>
      <c r="B20" s="1283">
        <v>2472</v>
      </c>
      <c r="C20" s="326"/>
      <c r="D20" s="326"/>
      <c r="E20" s="326"/>
      <c r="F20" s="326"/>
    </row>
    <row r="21" spans="1:6">
      <c r="A21" s="1282" t="s">
        <v>11</v>
      </c>
      <c r="B21" s="1283">
        <v>40485</v>
      </c>
      <c r="C21" s="326"/>
      <c r="D21" s="326"/>
      <c r="E21" s="326"/>
      <c r="F21" s="326"/>
    </row>
    <row r="22" spans="1:6">
      <c r="A22" s="1282" t="s">
        <v>12</v>
      </c>
      <c r="B22" s="1283">
        <v>121974</v>
      </c>
      <c r="C22" s="326"/>
      <c r="D22" s="326"/>
      <c r="E22" s="326"/>
      <c r="F22" s="326"/>
    </row>
    <row r="23" spans="1:6">
      <c r="A23" s="1282" t="s">
        <v>13</v>
      </c>
      <c r="B23" s="1283">
        <v>3168</v>
      </c>
      <c r="C23" s="326"/>
      <c r="D23" s="326"/>
      <c r="E23" s="326"/>
      <c r="F23" s="326"/>
    </row>
    <row r="24" spans="1:6">
      <c r="A24" s="1282" t="s">
        <v>14</v>
      </c>
      <c r="B24" s="1283">
        <v>89</v>
      </c>
      <c r="C24" s="326"/>
      <c r="D24" s="326"/>
      <c r="E24" s="326"/>
      <c r="F24" s="326"/>
    </row>
    <row r="25" spans="1:6">
      <c r="A25" s="1282" t="s">
        <v>15</v>
      </c>
      <c r="B25" s="1283">
        <v>11957</v>
      </c>
      <c r="C25" s="326"/>
      <c r="D25" s="326"/>
      <c r="E25" s="326"/>
      <c r="F25" s="326"/>
    </row>
    <row r="26" spans="1:6">
      <c r="A26" s="1282" t="s">
        <v>16</v>
      </c>
      <c r="B26" s="1283">
        <v>104</v>
      </c>
      <c r="C26" s="326"/>
      <c r="D26" s="326"/>
      <c r="E26" s="326"/>
      <c r="F26" s="326"/>
    </row>
    <row r="27" spans="1:6">
      <c r="A27" s="1282" t="s">
        <v>17</v>
      </c>
      <c r="B27" s="1283">
        <v>2</v>
      </c>
      <c r="C27" s="326"/>
      <c r="D27" s="326"/>
      <c r="E27" s="326"/>
      <c r="F27" s="326"/>
    </row>
    <row r="28" spans="1:6" s="43" customFormat="1">
      <c r="A28" s="1284" t="s">
        <v>18</v>
      </c>
      <c r="B28" s="1285">
        <v>888925</v>
      </c>
      <c r="C28" s="332"/>
      <c r="D28" s="332"/>
      <c r="E28" s="332"/>
      <c r="F28" s="332"/>
    </row>
    <row r="29" spans="1:6">
      <c r="A29" s="1284" t="s">
        <v>978</v>
      </c>
      <c r="B29" s="1285">
        <v>181</v>
      </c>
      <c r="C29" s="332"/>
      <c r="D29" s="332"/>
      <c r="E29" s="332"/>
      <c r="F29" s="332"/>
    </row>
    <row r="30" spans="1:6">
      <c r="A30" s="1277" t="s">
        <v>979</v>
      </c>
      <c r="B30" s="1286">
        <v>31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268571.278813952</v>
      </c>
      <c r="E38" s="1283">
        <v>1</v>
      </c>
      <c r="F38" s="1283">
        <v>2725</v>
      </c>
    </row>
    <row r="39" spans="1:6">
      <c r="A39" s="1282" t="s">
        <v>29</v>
      </c>
      <c r="B39" s="1282" t="s">
        <v>30</v>
      </c>
      <c r="C39" s="1283">
        <v>2637</v>
      </c>
      <c r="D39" s="1283">
        <v>43756617.542420097</v>
      </c>
      <c r="E39" s="1283">
        <v>4908</v>
      </c>
      <c r="F39" s="1283">
        <v>24244819.591069199</v>
      </c>
    </row>
    <row r="40" spans="1:6">
      <c r="A40" s="1282" t="s">
        <v>29</v>
      </c>
      <c r="B40" s="1282" t="s">
        <v>28</v>
      </c>
      <c r="C40" s="1283">
        <v>0</v>
      </c>
      <c r="D40" s="1283">
        <v>0</v>
      </c>
      <c r="E40" s="1283">
        <v>0</v>
      </c>
      <c r="F40" s="1283">
        <v>0</v>
      </c>
    </row>
    <row r="41" spans="1:6">
      <c r="A41" s="1282" t="s">
        <v>31</v>
      </c>
      <c r="B41" s="1282" t="s">
        <v>32</v>
      </c>
      <c r="C41" s="1283">
        <v>69</v>
      </c>
      <c r="D41" s="1283">
        <v>3030087.4519663099</v>
      </c>
      <c r="E41" s="1283">
        <v>202</v>
      </c>
      <c r="F41" s="1283">
        <v>3943252.8897553799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12</v>
      </c>
      <c r="D44" s="1283">
        <v>4659751.4757947</v>
      </c>
      <c r="E44" s="1283">
        <v>46</v>
      </c>
      <c r="F44" s="1283">
        <v>8823263.9526152499</v>
      </c>
    </row>
    <row r="45" spans="1:6">
      <c r="A45" s="1282" t="s">
        <v>31</v>
      </c>
      <c r="B45" s="1282" t="s">
        <v>36</v>
      </c>
      <c r="C45" s="1283">
        <v>0</v>
      </c>
      <c r="D45" s="1283">
        <v>0</v>
      </c>
      <c r="E45" s="1283">
        <v>3</v>
      </c>
      <c r="F45" s="1283">
        <v>148542.02990662001</v>
      </c>
    </row>
    <row r="46" spans="1:6">
      <c r="A46" s="1282" t="s">
        <v>31</v>
      </c>
      <c r="B46" s="1282" t="s">
        <v>37</v>
      </c>
      <c r="C46" s="1283">
        <v>0</v>
      </c>
      <c r="D46" s="1283">
        <v>0</v>
      </c>
      <c r="E46" s="1283">
        <v>0</v>
      </c>
      <c r="F46" s="1283">
        <v>0</v>
      </c>
    </row>
    <row r="47" spans="1:6">
      <c r="A47" s="1282" t="s">
        <v>31</v>
      </c>
      <c r="B47" s="1282" t="s">
        <v>38</v>
      </c>
      <c r="C47" s="1283">
        <v>0</v>
      </c>
      <c r="D47" s="1283">
        <v>0</v>
      </c>
      <c r="E47" s="1283">
        <v>5</v>
      </c>
      <c r="F47" s="1283">
        <v>794025.42761579505</v>
      </c>
    </row>
    <row r="48" spans="1:6">
      <c r="A48" s="1282" t="s">
        <v>31</v>
      </c>
      <c r="B48" s="1282" t="s">
        <v>28</v>
      </c>
      <c r="C48" s="1283">
        <v>22</v>
      </c>
      <c r="D48" s="1283">
        <v>27411162.098302301</v>
      </c>
      <c r="E48" s="1283">
        <v>40</v>
      </c>
      <c r="F48" s="1283">
        <v>11020078.4668118</v>
      </c>
    </row>
    <row r="49" spans="1:6">
      <c r="A49" s="1282" t="s">
        <v>31</v>
      </c>
      <c r="B49" s="1282" t="s">
        <v>39</v>
      </c>
      <c r="C49" s="1283">
        <v>0</v>
      </c>
      <c r="D49" s="1283">
        <v>0</v>
      </c>
      <c r="E49" s="1283">
        <v>0</v>
      </c>
      <c r="F49" s="1283">
        <v>0</v>
      </c>
    </row>
    <row r="50" spans="1:6">
      <c r="A50" s="1282" t="s">
        <v>31</v>
      </c>
      <c r="B50" s="1282" t="s">
        <v>40</v>
      </c>
      <c r="C50" s="1283">
        <v>10</v>
      </c>
      <c r="D50" s="1283">
        <v>837972.41886479501</v>
      </c>
      <c r="E50" s="1283">
        <v>17</v>
      </c>
      <c r="F50" s="1283">
        <v>3894509.06886737</v>
      </c>
    </row>
    <row r="51" spans="1:6">
      <c r="A51" s="1282" t="s">
        <v>41</v>
      </c>
      <c r="B51" s="1282" t="s">
        <v>42</v>
      </c>
      <c r="C51" s="1283">
        <v>19</v>
      </c>
      <c r="D51" s="1283">
        <v>718515.02926664101</v>
      </c>
      <c r="E51" s="1283">
        <v>364</v>
      </c>
      <c r="F51" s="1283">
        <v>9688269.7166925706</v>
      </c>
    </row>
    <row r="52" spans="1:6">
      <c r="A52" s="1282" t="s">
        <v>41</v>
      </c>
      <c r="B52" s="1282" t="s">
        <v>28</v>
      </c>
      <c r="C52" s="1283">
        <v>4</v>
      </c>
      <c r="D52" s="1283">
        <v>278105.44443174702</v>
      </c>
      <c r="E52" s="1283">
        <v>6</v>
      </c>
      <c r="F52" s="1283">
        <v>557931.87263245205</v>
      </c>
    </row>
    <row r="53" spans="1:6">
      <c r="A53" s="1282" t="s">
        <v>43</v>
      </c>
      <c r="B53" s="1282" t="s">
        <v>44</v>
      </c>
      <c r="C53" s="1283">
        <v>102</v>
      </c>
      <c r="D53" s="1283">
        <v>1674336.8928982201</v>
      </c>
      <c r="E53" s="1283">
        <v>210</v>
      </c>
      <c r="F53" s="1283">
        <v>1343838.56161204</v>
      </c>
    </row>
    <row r="54" spans="1:6">
      <c r="A54" s="1282" t="s">
        <v>45</v>
      </c>
      <c r="B54" s="1282" t="s">
        <v>46</v>
      </c>
      <c r="C54" s="1283">
        <v>0</v>
      </c>
      <c r="D54" s="1283">
        <v>0</v>
      </c>
      <c r="E54" s="1283">
        <v>1</v>
      </c>
      <c r="F54" s="1283">
        <v>1027846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24</v>
      </c>
      <c r="D57" s="1283">
        <v>581398.00231461204</v>
      </c>
      <c r="E57" s="1283">
        <v>110</v>
      </c>
      <c r="F57" s="1283">
        <v>1811444.01439763</v>
      </c>
    </row>
    <row r="58" spans="1:6">
      <c r="A58" s="1282" t="s">
        <v>48</v>
      </c>
      <c r="B58" s="1282" t="s">
        <v>50</v>
      </c>
      <c r="C58" s="1283">
        <v>9</v>
      </c>
      <c r="D58" s="1283">
        <v>2130542.3866408798</v>
      </c>
      <c r="E58" s="1283">
        <v>39</v>
      </c>
      <c r="F58" s="1283">
        <v>400301.73653413</v>
      </c>
    </row>
    <row r="59" spans="1:6">
      <c r="A59" s="1282" t="s">
        <v>48</v>
      </c>
      <c r="B59" s="1282" t="s">
        <v>51</v>
      </c>
      <c r="C59" s="1283">
        <v>59</v>
      </c>
      <c r="D59" s="1283">
        <v>1699664.0122618701</v>
      </c>
      <c r="E59" s="1283">
        <v>190</v>
      </c>
      <c r="F59" s="1283">
        <v>5226252.4963402497</v>
      </c>
    </row>
    <row r="60" spans="1:6">
      <c r="A60" s="1282" t="s">
        <v>48</v>
      </c>
      <c r="B60" s="1282" t="s">
        <v>52</v>
      </c>
      <c r="C60" s="1283">
        <v>26</v>
      </c>
      <c r="D60" s="1283">
        <v>1151416.8156615901</v>
      </c>
      <c r="E60" s="1283">
        <v>54</v>
      </c>
      <c r="F60" s="1283">
        <v>1482915.4577343301</v>
      </c>
    </row>
    <row r="61" spans="1:6">
      <c r="A61" s="1282" t="s">
        <v>48</v>
      </c>
      <c r="B61" s="1282" t="s">
        <v>53</v>
      </c>
      <c r="C61" s="1283">
        <v>94</v>
      </c>
      <c r="D61" s="1283">
        <v>5574394.4332867796</v>
      </c>
      <c r="E61" s="1283">
        <v>174</v>
      </c>
      <c r="F61" s="1283">
        <v>2385767.0150802</v>
      </c>
    </row>
    <row r="62" spans="1:6">
      <c r="A62" s="1282" t="s">
        <v>48</v>
      </c>
      <c r="B62" s="1282" t="s">
        <v>54</v>
      </c>
      <c r="C62" s="1283">
        <v>7</v>
      </c>
      <c r="D62" s="1283">
        <v>603962.43905724306</v>
      </c>
      <c r="E62" s="1283">
        <v>10</v>
      </c>
      <c r="F62" s="1283">
        <v>148166.82404474399</v>
      </c>
    </row>
    <row r="63" spans="1:6">
      <c r="A63" s="1282" t="s">
        <v>48</v>
      </c>
      <c r="B63" s="1282" t="s">
        <v>28</v>
      </c>
      <c r="C63" s="1283">
        <v>76</v>
      </c>
      <c r="D63" s="1283">
        <v>2935700.8909338899</v>
      </c>
      <c r="E63" s="1283">
        <v>80</v>
      </c>
      <c r="F63" s="1283">
        <v>3710946.3400656502</v>
      </c>
    </row>
    <row r="64" spans="1:6">
      <c r="A64" s="1282" t="s">
        <v>55</v>
      </c>
      <c r="B64" s="1282" t="s">
        <v>56</v>
      </c>
      <c r="C64" s="1283">
        <v>0</v>
      </c>
      <c r="D64" s="1283">
        <v>0</v>
      </c>
      <c r="E64" s="1283">
        <v>0</v>
      </c>
      <c r="F64" s="1283">
        <v>0</v>
      </c>
    </row>
    <row r="65" spans="1:6">
      <c r="A65" s="1282" t="s">
        <v>55</v>
      </c>
      <c r="B65" s="1282" t="s">
        <v>28</v>
      </c>
      <c r="C65" s="1283">
        <v>3</v>
      </c>
      <c r="D65" s="1283">
        <v>115109.194014334</v>
      </c>
      <c r="E65" s="1283">
        <v>4</v>
      </c>
      <c r="F65" s="1283">
        <v>54808.718327164701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11</v>
      </c>
      <c r="F68" s="1286">
        <v>200678.856974858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42607573</v>
      </c>
      <c r="E73" s="447"/>
      <c r="F73" s="326"/>
    </row>
    <row r="74" spans="1:6">
      <c r="A74" s="1282" t="s">
        <v>63</v>
      </c>
      <c r="B74" s="1282" t="s">
        <v>760</v>
      </c>
      <c r="C74" s="1296" t="s">
        <v>761</v>
      </c>
      <c r="D74" s="1297">
        <v>4951999.4232093981</v>
      </c>
      <c r="E74" s="447"/>
      <c r="F74" s="326"/>
    </row>
    <row r="75" spans="1:6">
      <c r="A75" s="1282" t="s">
        <v>64</v>
      </c>
      <c r="B75" s="1282" t="s">
        <v>758</v>
      </c>
      <c r="C75" s="1296" t="s">
        <v>762</v>
      </c>
      <c r="D75" s="1297">
        <v>22020747</v>
      </c>
      <c r="E75" s="447"/>
      <c r="F75" s="326"/>
    </row>
    <row r="76" spans="1:6">
      <c r="A76" s="1282" t="s">
        <v>64</v>
      </c>
      <c r="B76" s="1282" t="s">
        <v>760</v>
      </c>
      <c r="C76" s="1296" t="s">
        <v>763</v>
      </c>
      <c r="D76" s="1297">
        <v>1236785.4232093978</v>
      </c>
      <c r="E76" s="447"/>
      <c r="F76" s="326"/>
    </row>
    <row r="77" spans="1:6">
      <c r="A77" s="1282" t="s">
        <v>65</v>
      </c>
      <c r="B77" s="1282" t="s">
        <v>758</v>
      </c>
      <c r="C77" s="1296" t="s">
        <v>764</v>
      </c>
      <c r="D77" s="1297">
        <v>9639567</v>
      </c>
      <c r="E77" s="447"/>
      <c r="F77" s="326"/>
    </row>
    <row r="78" spans="1:6">
      <c r="A78" s="1277" t="s">
        <v>65</v>
      </c>
      <c r="B78" s="1277" t="s">
        <v>760</v>
      </c>
      <c r="C78" s="1277" t="s">
        <v>765</v>
      </c>
      <c r="D78" s="1298">
        <v>1444135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202061.1535812043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1878.9555353119783</v>
      </c>
      <c r="C91" s="326"/>
      <c r="D91" s="326"/>
      <c r="E91" s="326"/>
      <c r="F91" s="326"/>
    </row>
    <row r="92" spans="1:6">
      <c r="A92" s="1277" t="s">
        <v>68</v>
      </c>
      <c r="B92" s="1278">
        <v>1018.6032292534346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1717</v>
      </c>
      <c r="C97" s="326"/>
      <c r="D97" s="326"/>
      <c r="E97" s="326"/>
      <c r="F97" s="326"/>
    </row>
    <row r="98" spans="1:6">
      <c r="A98" s="1282" t="s">
        <v>71</v>
      </c>
      <c r="B98" s="1283">
        <v>0</v>
      </c>
      <c r="C98" s="326"/>
      <c r="D98" s="326"/>
      <c r="E98" s="326"/>
      <c r="F98" s="326"/>
    </row>
    <row r="99" spans="1:6">
      <c r="A99" s="1282" t="s">
        <v>72</v>
      </c>
      <c r="B99" s="1283">
        <v>325</v>
      </c>
      <c r="C99" s="326"/>
      <c r="D99" s="326"/>
      <c r="E99" s="326"/>
      <c r="F99" s="326"/>
    </row>
    <row r="100" spans="1:6">
      <c r="A100" s="1282" t="s">
        <v>73</v>
      </c>
      <c r="B100" s="1283">
        <v>430</v>
      </c>
      <c r="C100" s="326"/>
      <c r="D100" s="326"/>
      <c r="E100" s="326"/>
      <c r="F100" s="326"/>
    </row>
    <row r="101" spans="1:6">
      <c r="A101" s="1282" t="s">
        <v>74</v>
      </c>
      <c r="B101" s="1283">
        <v>213</v>
      </c>
      <c r="C101" s="326"/>
      <c r="D101" s="326"/>
      <c r="E101" s="326"/>
      <c r="F101" s="326"/>
    </row>
    <row r="102" spans="1:6">
      <c r="A102" s="1282" t="s">
        <v>75</v>
      </c>
      <c r="B102" s="1283">
        <v>98</v>
      </c>
      <c r="C102" s="326"/>
      <c r="D102" s="326"/>
      <c r="E102" s="326"/>
      <c r="F102" s="326"/>
    </row>
    <row r="103" spans="1:6">
      <c r="A103" s="1282" t="s">
        <v>76</v>
      </c>
      <c r="B103" s="1283">
        <v>235</v>
      </c>
      <c r="C103" s="326"/>
      <c r="D103" s="326"/>
      <c r="E103" s="326"/>
      <c r="F103" s="326"/>
    </row>
    <row r="104" spans="1:6">
      <c r="A104" s="1282" t="s">
        <v>77</v>
      </c>
      <c r="B104" s="1283">
        <v>1832</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82535.351018933114</v>
      </c>
      <c r="C3" s="43" t="s">
        <v>169</v>
      </c>
      <c r="D3" s="43"/>
      <c r="E3" s="156"/>
      <c r="F3" s="43"/>
      <c r="G3" s="43"/>
      <c r="H3" s="43"/>
      <c r="I3" s="43"/>
      <c r="J3" s="43"/>
      <c r="K3" s="96"/>
    </row>
    <row r="4" spans="1:11">
      <c r="A4" s="354" t="s">
        <v>170</v>
      </c>
      <c r="B4" s="49">
        <f>IF(ISERROR('SEAP template'!B78+'SEAP template'!C78),0,'SEAP template'!B78+'SEAP template'!C78)</f>
        <v>2897.5587645654132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0.21324137925066725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1027.846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1027.846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0.21324137925066725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219.17929869728133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24244.819591069197</v>
      </c>
      <c r="C5" s="17">
        <f>IF(ISERROR('Eigen informatie GS &amp; warmtenet'!B57),0,'Eigen informatie GS &amp; warmtenet'!B57)</f>
        <v>0</v>
      </c>
      <c r="D5" s="30">
        <f>(SUM(HH_hh_gas_kWh,HH_rest_gas_kWh)/1000)*0.902</f>
        <v>39468.469023262929</v>
      </c>
      <c r="E5" s="17">
        <f>B32*B41</f>
        <v>1442.1850416441325</v>
      </c>
      <c r="F5" s="17">
        <f>B36*B45</f>
        <v>49228.114799709656</v>
      </c>
      <c r="G5" s="18"/>
      <c r="H5" s="17"/>
      <c r="I5" s="17"/>
      <c r="J5" s="17">
        <f>B35*B44+C35*C44</f>
        <v>1108.4923378809674</v>
      </c>
      <c r="K5" s="17"/>
      <c r="L5" s="17"/>
      <c r="M5" s="17"/>
      <c r="N5" s="17">
        <f>B34*B43+C34*C43</f>
        <v>6885.4137245059619</v>
      </c>
      <c r="O5" s="17">
        <f>B52*B53*B54</f>
        <v>56.280000000000008</v>
      </c>
      <c r="P5" s="17">
        <f>B60*B61*B62/1000-B60*B61*B62/1000/B63</f>
        <v>190.66666666666669</v>
      </c>
    </row>
    <row r="6" spans="1:16">
      <c r="A6" s="16" t="s">
        <v>621</v>
      </c>
      <c r="B6" s="768">
        <f>kWh_PV_kleiner_dan_10kW</f>
        <v>1878.9555353119783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26123.775126381177</v>
      </c>
      <c r="C8" s="21">
        <f>C5</f>
        <v>0</v>
      </c>
      <c r="D8" s="21">
        <f>D5</f>
        <v>39468.469023262929</v>
      </c>
      <c r="E8" s="21">
        <f>E5</f>
        <v>1442.1850416441325</v>
      </c>
      <c r="F8" s="21">
        <f>F5</f>
        <v>49228.114799709656</v>
      </c>
      <c r="G8" s="21"/>
      <c r="H8" s="21"/>
      <c r="I8" s="21"/>
      <c r="J8" s="21">
        <f>J5</f>
        <v>1108.4923378809674</v>
      </c>
      <c r="K8" s="21"/>
      <c r="L8" s="21">
        <f>L5</f>
        <v>0</v>
      </c>
      <c r="M8" s="21">
        <f>M5</f>
        <v>0</v>
      </c>
      <c r="N8" s="21">
        <f>N5</f>
        <v>6885.4137245059619</v>
      </c>
      <c r="O8" s="21">
        <f>O5</f>
        <v>56.280000000000008</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0.21324137925066725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5570.6698391837963</v>
      </c>
      <c r="C12" s="23">
        <f ca="1">C10*C8</f>
        <v>0</v>
      </c>
      <c r="D12" s="23">
        <f>D8*D10</f>
        <v>7972.6307426991125</v>
      </c>
      <c r="E12" s="23">
        <f>E10*E8</f>
        <v>327.37600445321812</v>
      </c>
      <c r="F12" s="23">
        <f>F10*F8</f>
        <v>13143.906651522479</v>
      </c>
      <c r="G12" s="23"/>
      <c r="H12" s="23"/>
      <c r="I12" s="23"/>
      <c r="J12" s="23">
        <f>J10*J8</f>
        <v>392.40628760986243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5503</v>
      </c>
      <c r="C26" s="36"/>
      <c r="D26" s="226"/>
    </row>
    <row r="27" spans="1:5" s="15" customFormat="1">
      <c r="A27" s="228" t="s">
        <v>701</v>
      </c>
      <c r="B27" s="37">
        <f>SUM(HH_hh_gas_aantal,HH_rest_gas_aantal)</f>
        <v>2637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2505.15</v>
      </c>
      <c r="C31" s="34" t="s">
        <v>110</v>
      </c>
      <c r="D31" s="172"/>
    </row>
    <row r="32" spans="1:5">
      <c r="A32" s="169" t="s">
        <v>72</v>
      </c>
      <c r="B32" s="33">
        <f>IF((B21*($B$26-($B$27-0.05*$B$27)-$B$60))&lt;0,0,B21*($B$26-($B$27-0.05*$B$27)-$B$60))</f>
        <v>21.182567694840081</v>
      </c>
      <c r="C32" s="34" t="s">
        <v>110</v>
      </c>
      <c r="D32" s="172"/>
    </row>
    <row r="33" spans="1:6">
      <c r="A33" s="169" t="s">
        <v>73</v>
      </c>
      <c r="B33" s="33">
        <f>IF((B22*($B$26-($B$27-0.05*$B$27)-$B$60))&lt;0,0,B22*($B$26-($B$27-0.05*$B$27)-$B$60))</f>
        <v>607.08950815211756</v>
      </c>
      <c r="C33" s="34" t="s">
        <v>110</v>
      </c>
      <c r="D33" s="172"/>
    </row>
    <row r="34" spans="1:6">
      <c r="A34" s="169" t="s">
        <v>74</v>
      </c>
      <c r="B34" s="33">
        <f>IF((B24*($B$26-($B$27-0.05*$B$27)-$B$60))&lt;0,0,B24*($B$26-($B$27-0.05*$B$27)-$B$60))</f>
        <v>121.06006384117912</v>
      </c>
      <c r="C34" s="33">
        <f>B26*C24</f>
        <v>1125.2403138591858</v>
      </c>
      <c r="D34" s="231"/>
    </row>
    <row r="35" spans="1:6">
      <c r="A35" s="169" t="s">
        <v>76</v>
      </c>
      <c r="B35" s="33">
        <f>IF((B19*($B$26-($B$27-0.05*$B$27)-$B$60))&lt;0,0,B19*($B$26-($B$27-0.05*$B$27)-$B$60))</f>
        <v>63.043356234643106</v>
      </c>
      <c r="C35" s="33">
        <f>B35/2</f>
        <v>31.521678117321553</v>
      </c>
      <c r="D35" s="231"/>
    </row>
    <row r="36" spans="1:6">
      <c r="A36" s="169" t="s">
        <v>77</v>
      </c>
      <c r="B36" s="33">
        <f>IF((B18*($B$26-($B$27-0.05*$B$27)-$B$60))&lt;0,0,B18*($B$26-($B$27-0.05*$B$27)-$B$60))</f>
        <v>2175.47450407722</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15165.793884196932</v>
      </c>
      <c r="C5" s="17">
        <f>IF(ISERROR('Eigen informatie GS &amp; warmtenet'!B58),0,'Eigen informatie GS &amp; warmtenet'!B58)</f>
        <v>0</v>
      </c>
      <c r="D5" s="30">
        <f>SUM(D6:D12)</f>
        <v>13238.725240101492</v>
      </c>
      <c r="E5" s="17">
        <f>SUM(E6:E12)</f>
        <v>284.90873547421666</v>
      </c>
      <c r="F5" s="17">
        <f>SUM(F6:F12)</f>
        <v>2844.1573925722678</v>
      </c>
      <c r="G5" s="18"/>
      <c r="H5" s="17"/>
      <c r="I5" s="17"/>
      <c r="J5" s="17">
        <f>SUM(J6:J12)</f>
        <v>0</v>
      </c>
      <c r="K5" s="17"/>
      <c r="L5" s="17"/>
      <c r="M5" s="17"/>
      <c r="N5" s="17">
        <f>SUM(N6:N12)</f>
        <v>547.53314685775922</v>
      </c>
      <c r="O5" s="17">
        <f>B38*B39*B40</f>
        <v>0</v>
      </c>
      <c r="P5" s="17">
        <f>B46*B47*B48/1000-B46*B47*B48/1000/B49</f>
        <v>0</v>
      </c>
      <c r="R5" s="32"/>
    </row>
    <row r="6" spans="1:18">
      <c r="A6" s="32" t="s">
        <v>53</v>
      </c>
      <c r="B6" s="37">
        <f>B26</f>
        <v>2385.7670150802001</v>
      </c>
      <c r="C6" s="33"/>
      <c r="D6" s="37">
        <f>IF(ISERROR(TER_kantoor_gas_kWh/1000),0,TER_kantoor_gas_kWh/1000)*0.902</f>
        <v>5028.1037788246749</v>
      </c>
      <c r="E6" s="33">
        <f>$C$26*'E Balans VL '!I12/100/3.6*1000000</f>
        <v>83.511230530775052</v>
      </c>
      <c r="F6" s="33">
        <f>$C$26*('E Balans VL '!L12+'E Balans VL '!N12)/100/3.6*1000000</f>
        <v>361.73350140204332</v>
      </c>
      <c r="G6" s="34"/>
      <c r="H6" s="33"/>
      <c r="I6" s="33"/>
      <c r="J6" s="33">
        <f>$C$26*('E Balans VL '!D12+'E Balans VL '!E12)/100/3.6*1000000</f>
        <v>0</v>
      </c>
      <c r="K6" s="33"/>
      <c r="L6" s="33"/>
      <c r="M6" s="33"/>
      <c r="N6" s="33">
        <f>$C$26*'E Balans VL '!Y12/100/3.6*1000000</f>
        <v>18.441232302045009</v>
      </c>
      <c r="O6" s="33"/>
      <c r="P6" s="33"/>
      <c r="R6" s="32"/>
    </row>
    <row r="7" spans="1:18">
      <c r="A7" s="32" t="s">
        <v>52</v>
      </c>
      <c r="B7" s="37">
        <f t="shared" ref="B7:B12" si="0">B27</f>
        <v>1482.9154577343302</v>
      </c>
      <c r="C7" s="33"/>
      <c r="D7" s="37">
        <f>IF(ISERROR(TER_horeca_gas_kWh/1000),0,TER_horeca_gas_kWh/1000)*0.902</f>
        <v>1038.5779677267544</v>
      </c>
      <c r="E7" s="33">
        <f>$C$27*'E Balans VL '!I9/100/3.6*1000000</f>
        <v>83.656149789663885</v>
      </c>
      <c r="F7" s="33">
        <f>$C$27*('E Balans VL '!L9+'E Balans VL '!N9)/100/3.6*1000000</f>
        <v>258.33207929683073</v>
      </c>
      <c r="G7" s="34"/>
      <c r="H7" s="33"/>
      <c r="I7" s="33"/>
      <c r="J7" s="33">
        <f>$C$27*('E Balans VL '!D9+'E Balans VL '!E9)/100/3.6*1000000</f>
        <v>0</v>
      </c>
      <c r="K7" s="33"/>
      <c r="L7" s="33"/>
      <c r="M7" s="33"/>
      <c r="N7" s="33">
        <f>$C$27*'E Balans VL '!Y9/100/3.6*1000000</f>
        <v>0</v>
      </c>
      <c r="O7" s="33"/>
      <c r="P7" s="33"/>
      <c r="R7" s="32"/>
    </row>
    <row r="8" spans="1:18">
      <c r="A8" s="6" t="s">
        <v>51</v>
      </c>
      <c r="B8" s="37">
        <f t="shared" si="0"/>
        <v>5226.2524963402493</v>
      </c>
      <c r="C8" s="33"/>
      <c r="D8" s="37">
        <f>IF(ISERROR(TER_handel_gas_kWh/1000),0,TER_handel_gas_kWh/1000)*0.902</f>
        <v>1533.0969390602068</v>
      </c>
      <c r="E8" s="33">
        <f>$C$28*'E Balans VL '!I13/100/3.6*1000000</f>
        <v>26.831049336658204</v>
      </c>
      <c r="F8" s="33">
        <f>$C$28*('E Balans VL '!L13+'E Balans VL '!N13)/100/3.6*1000000</f>
        <v>805.80738104484908</v>
      </c>
      <c r="G8" s="34"/>
      <c r="H8" s="33"/>
      <c r="I8" s="33"/>
      <c r="J8" s="33">
        <f>$C$28*('E Balans VL '!D13+'E Balans VL '!E13)/100/3.6*1000000</f>
        <v>0</v>
      </c>
      <c r="K8" s="33"/>
      <c r="L8" s="33"/>
      <c r="M8" s="33"/>
      <c r="N8" s="33">
        <f>$C$28*'E Balans VL '!Y13/100/3.6*1000000</f>
        <v>2.4443820875370981</v>
      </c>
      <c r="O8" s="33"/>
      <c r="P8" s="33"/>
      <c r="R8" s="32"/>
    </row>
    <row r="9" spans="1:18">
      <c r="A9" s="32" t="s">
        <v>50</v>
      </c>
      <c r="B9" s="37">
        <f t="shared" si="0"/>
        <v>400.30173653412999</v>
      </c>
      <c r="C9" s="33"/>
      <c r="D9" s="37">
        <f>IF(ISERROR(TER_gezond_gas_kWh/1000),0,TER_gezond_gas_kWh/1000)*0.902</f>
        <v>1921.7492327500734</v>
      </c>
      <c r="E9" s="33">
        <f>$C$29*'E Balans VL '!I10/100/3.6*1000000</f>
        <v>0.165922218946603</v>
      </c>
      <c r="F9" s="33">
        <f>$C$29*('E Balans VL '!L10+'E Balans VL '!N10)/100/3.6*1000000</f>
        <v>98.588576615635461</v>
      </c>
      <c r="G9" s="34"/>
      <c r="H9" s="33"/>
      <c r="I9" s="33"/>
      <c r="J9" s="33">
        <f>$C$29*('E Balans VL '!D10+'E Balans VL '!E10)/100/3.6*1000000</f>
        <v>0</v>
      </c>
      <c r="K9" s="33"/>
      <c r="L9" s="33"/>
      <c r="M9" s="33"/>
      <c r="N9" s="33">
        <f>$C$29*'E Balans VL '!Y10/100/3.6*1000000</f>
        <v>3.4595978005376962</v>
      </c>
      <c r="O9" s="33"/>
      <c r="P9" s="33"/>
      <c r="R9" s="32"/>
    </row>
    <row r="10" spans="1:18">
      <c r="A10" s="32" t="s">
        <v>49</v>
      </c>
      <c r="B10" s="37">
        <f t="shared" si="0"/>
        <v>1811.4440143976301</v>
      </c>
      <c r="C10" s="33"/>
      <c r="D10" s="37">
        <f>IF(ISERROR(TER_ander_gas_kWh/1000),0,TER_ander_gas_kWh/1000)*0.902</f>
        <v>524.42099808778016</v>
      </c>
      <c r="E10" s="33">
        <f>$C$30*'E Balans VL '!I14/100/3.6*1000000</f>
        <v>11.042607404978071</v>
      </c>
      <c r="F10" s="33">
        <f>$C$30*('E Balans VL '!L14+'E Balans VL '!N14)/100/3.6*1000000</f>
        <v>480.23862218503831</v>
      </c>
      <c r="G10" s="34"/>
      <c r="H10" s="33"/>
      <c r="I10" s="33"/>
      <c r="J10" s="33">
        <f>$C$30*('E Balans VL '!D14+'E Balans VL '!E14)/100/3.6*1000000</f>
        <v>0</v>
      </c>
      <c r="K10" s="33"/>
      <c r="L10" s="33"/>
      <c r="M10" s="33"/>
      <c r="N10" s="33">
        <f>$C$30*'E Balans VL '!Y14/100/3.6*1000000</f>
        <v>417.49870289455015</v>
      </c>
      <c r="O10" s="33"/>
      <c r="P10" s="33"/>
      <c r="R10" s="32"/>
    </row>
    <row r="11" spans="1:18">
      <c r="A11" s="32" t="s">
        <v>54</v>
      </c>
      <c r="B11" s="37">
        <f t="shared" si="0"/>
        <v>148.16682404474398</v>
      </c>
      <c r="C11" s="33"/>
      <c r="D11" s="37">
        <f>IF(ISERROR(TER_onderwijs_gas_kWh/1000),0,TER_onderwijs_gas_kWh/1000)*0.902</f>
        <v>544.7741200296332</v>
      </c>
      <c r="E11" s="33">
        <f>$C$31*'E Balans VL '!I11/100/3.6*1000000</f>
        <v>0.11291083505012814</v>
      </c>
      <c r="F11" s="33">
        <f>$C$31*('E Balans VL '!L11+'E Balans VL '!N11)/100/3.6*1000000</f>
        <v>107.22163375858496</v>
      </c>
      <c r="G11" s="34"/>
      <c r="H11" s="33"/>
      <c r="I11" s="33"/>
      <c r="J11" s="33">
        <f>$C$31*('E Balans VL '!D11+'E Balans VL '!E11)/100/3.6*1000000</f>
        <v>0</v>
      </c>
      <c r="K11" s="33"/>
      <c r="L11" s="33"/>
      <c r="M11" s="33"/>
      <c r="N11" s="33">
        <f>$C$31*'E Balans VL '!Y11/100/3.6*1000000</f>
        <v>0.43668304168554511</v>
      </c>
      <c r="O11" s="33"/>
      <c r="P11" s="33"/>
      <c r="R11" s="32"/>
    </row>
    <row r="12" spans="1:18">
      <c r="A12" s="32" t="s">
        <v>255</v>
      </c>
      <c r="B12" s="37">
        <f t="shared" si="0"/>
        <v>3710.94634006565</v>
      </c>
      <c r="C12" s="33"/>
      <c r="D12" s="37">
        <f>IF(ISERROR(TER_rest_gas_kWh/1000),0,TER_rest_gas_kWh/1000)*0.902</f>
        <v>2648.0022036223686</v>
      </c>
      <c r="E12" s="33">
        <f>$C$32*'E Balans VL '!I8/100/3.6*1000000</f>
        <v>79.588865358144716</v>
      </c>
      <c r="F12" s="33">
        <f>$C$32*('E Balans VL '!L8+'E Balans VL '!N8)/100/3.6*1000000</f>
        <v>732.23559826928567</v>
      </c>
      <c r="G12" s="34"/>
      <c r="H12" s="33"/>
      <c r="I12" s="33"/>
      <c r="J12" s="33">
        <f>$C$32*('E Balans VL '!D8+'E Balans VL '!E8)/100/3.6*1000000</f>
        <v>0</v>
      </c>
      <c r="K12" s="33"/>
      <c r="L12" s="33"/>
      <c r="M12" s="33"/>
      <c r="N12" s="33">
        <f>$C$32*'E Balans VL '!Y8/100/3.6*1000000</f>
        <v>105.25254873140365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15165.793884196932</v>
      </c>
      <c r="C16" s="21">
        <f ca="1">C5+C13+C14</f>
        <v>0</v>
      </c>
      <c r="D16" s="21">
        <f t="shared" ref="D16:N16" ca="1" si="1">MAX((D5+D13+D14),0)</f>
        <v>13238.725240101492</v>
      </c>
      <c r="E16" s="21">
        <f t="shared" si="1"/>
        <v>284.90873547421666</v>
      </c>
      <c r="F16" s="21">
        <f t="shared" ca="1" si="1"/>
        <v>2844.1573925722678</v>
      </c>
      <c r="G16" s="21">
        <f t="shared" si="1"/>
        <v>0</v>
      </c>
      <c r="H16" s="21">
        <f t="shared" si="1"/>
        <v>0</v>
      </c>
      <c r="I16" s="21">
        <f t="shared" si="1"/>
        <v>0</v>
      </c>
      <c r="J16" s="21">
        <f t="shared" si="1"/>
        <v>0</v>
      </c>
      <c r="K16" s="21">
        <f t="shared" si="1"/>
        <v>0</v>
      </c>
      <c r="L16" s="21">
        <f t="shared" ca="1" si="1"/>
        <v>0</v>
      </c>
      <c r="M16" s="21">
        <f t="shared" si="1"/>
        <v>0</v>
      </c>
      <c r="N16" s="21">
        <f t="shared" ca="1" si="1"/>
        <v>547.53314685775922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0.21324137925066725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3233.9748052974878</v>
      </c>
      <c r="C20" s="23">
        <f t="shared" ref="C20:P20" ca="1" si="2">C16*C18</f>
        <v>0</v>
      </c>
      <c r="D20" s="23">
        <f t="shared" ca="1" si="2"/>
        <v>2674.2224985005014</v>
      </c>
      <c r="E20" s="23">
        <f t="shared" si="2"/>
        <v>64.674282952647189</v>
      </c>
      <c r="F20" s="23">
        <f t="shared" ca="1" si="2"/>
        <v>759.39002381679552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2385.7670150802001</v>
      </c>
      <c r="C26" s="39">
        <f>IF(ISERROR(B26*3.6/1000000/'E Balans VL '!Z12*100),0,B26*3.6/1000000/'E Balans VL '!Z12*100)</f>
        <v>5.0204510335583367E-2</v>
      </c>
      <c r="D26" s="234" t="s">
        <v>706</v>
      </c>
      <c r="F26" s="6"/>
    </row>
    <row r="27" spans="1:18">
      <c r="A27" s="229" t="s">
        <v>52</v>
      </c>
      <c r="B27" s="33">
        <f>IF(ISERROR(TER_horeca_ele_kWh/1000),0,TER_horeca_ele_kWh/1000)</f>
        <v>1482.9154577343302</v>
      </c>
      <c r="C27" s="39">
        <f>IF(ISERROR(B27*3.6/1000000/'E Balans VL '!Z9*100),0,B27*3.6/1000000/'E Balans VL '!Z9*100)</f>
        <v>0.12555428485251813</v>
      </c>
      <c r="D27" s="234" t="s">
        <v>706</v>
      </c>
      <c r="F27" s="6"/>
    </row>
    <row r="28" spans="1:18">
      <c r="A28" s="169" t="s">
        <v>51</v>
      </c>
      <c r="B28" s="33">
        <f>IF(ISERROR(TER_handel_ele_kWh/1000),0,TER_handel_ele_kWh/1000)</f>
        <v>5226.2524963402493</v>
      </c>
      <c r="C28" s="39">
        <f>IF(ISERROR(B28*3.6/1000000/'E Balans VL '!Z13*100),0,B28*3.6/1000000/'E Balans VL '!Z13*100)</f>
        <v>0.14468807767997197</v>
      </c>
      <c r="D28" s="234" t="s">
        <v>706</v>
      </c>
      <c r="F28" s="6"/>
    </row>
    <row r="29" spans="1:18">
      <c r="A29" s="229" t="s">
        <v>50</v>
      </c>
      <c r="B29" s="33">
        <f>IF(ISERROR(TER_gezond_ele_kWh/1000),0,TER_gezond_ele_kWh/1000)</f>
        <v>400.30173653412999</v>
      </c>
      <c r="C29" s="39">
        <f>IF(ISERROR(B29*3.6/1000000/'E Balans VL '!Z10*100),0,B29*3.6/1000000/'E Balans VL '!Z10*100)</f>
        <v>5.2034787887278312E-2</v>
      </c>
      <c r="D29" s="234" t="s">
        <v>706</v>
      </c>
      <c r="F29" s="6"/>
    </row>
    <row r="30" spans="1:18">
      <c r="A30" s="229" t="s">
        <v>49</v>
      </c>
      <c r="B30" s="33">
        <f>IF(ISERROR(TER_ander_ele_kWh/1000),0,TER_ander_ele_kWh/1000)</f>
        <v>1811.4440143976301</v>
      </c>
      <c r="C30" s="39">
        <f>IF(ISERROR(B30*3.6/1000000/'E Balans VL '!Z14*100),0,B30*3.6/1000000/'E Balans VL '!Z14*100)</f>
        <v>0.14040352332645206</v>
      </c>
      <c r="D30" s="234" t="s">
        <v>706</v>
      </c>
      <c r="F30" s="6"/>
    </row>
    <row r="31" spans="1:18">
      <c r="A31" s="229" t="s">
        <v>54</v>
      </c>
      <c r="B31" s="33">
        <f>IF(ISERROR(TER_onderwijs_ele_kWh/1000),0,TER_onderwijs_ele_kWh/1000)</f>
        <v>148.16682404474398</v>
      </c>
      <c r="C31" s="39">
        <f>IF(ISERROR(B31*3.6/1000000/'E Balans VL '!Z11*100),0,B31*3.6/1000000/'E Balans VL '!Z11*100)</f>
        <v>2.8346838149012989E-2</v>
      </c>
      <c r="D31" s="234" t="s">
        <v>706</v>
      </c>
    </row>
    <row r="32" spans="1:18">
      <c r="A32" s="229" t="s">
        <v>255</v>
      </c>
      <c r="B32" s="33">
        <f>IF(ISERROR(TER_rest_ele_kWh/1000),0,TER_rest_ele_kWh/1000)</f>
        <v>3710.94634006565</v>
      </c>
      <c r="C32" s="39">
        <f>IF(ISERROR(B32*3.6/1000000/'E Balans VL '!Z8*100),0,B32*3.6/1000000/'E Balans VL '!Z8*100)</f>
        <v>3.0599602267290187E-2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28623.671835572219</v>
      </c>
      <c r="C5" s="17">
        <f>IF(ISERROR('Eigen informatie GS &amp; warmtenet'!B59),0,'Eigen informatie GS &amp; warmtenet'!B59)</f>
        <v>0</v>
      </c>
      <c r="D5" s="30">
        <f>SUM(D6:D15)</f>
        <v>32416.954047325155</v>
      </c>
      <c r="E5" s="17">
        <f>SUM(E6:E15)</f>
        <v>291.33079171697432</v>
      </c>
      <c r="F5" s="17">
        <f>SUM(F6:F15)</f>
        <v>7067.0449409364746</v>
      </c>
      <c r="G5" s="18"/>
      <c r="H5" s="17"/>
      <c r="I5" s="17"/>
      <c r="J5" s="17">
        <f>SUM(J6:J15)</f>
        <v>273.48461697407998</v>
      </c>
      <c r="K5" s="17"/>
      <c r="L5" s="17"/>
      <c r="M5" s="17"/>
      <c r="N5" s="17">
        <f>SUM(N6:N15)</f>
        <v>580.6178839734589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8823.2639526152507</v>
      </c>
      <c r="C8" s="33"/>
      <c r="D8" s="37">
        <f>IF( ISERROR(IND_metaal_Gas_kWH/1000),0,IND_metaal_Gas_kWH/1000)*0.902</f>
        <v>4203.0958311668201</v>
      </c>
      <c r="E8" s="33">
        <f>C30*'E Balans VL '!I18/100/3.6*1000000</f>
        <v>61.999129030141987</v>
      </c>
      <c r="F8" s="33">
        <f>C30*'E Balans VL '!L18/100/3.6*1000000+C30*'E Balans VL '!N18/100/3.6*1000000</f>
        <v>968.74276082203494</v>
      </c>
      <c r="G8" s="34"/>
      <c r="H8" s="33"/>
      <c r="I8" s="33"/>
      <c r="J8" s="40">
        <f>C30*'E Balans VL '!D18/100/3.6*1000000+C30*'E Balans VL '!E18/100/3.6*1000000</f>
        <v>182.04295293298185</v>
      </c>
      <c r="K8" s="33"/>
      <c r="L8" s="33"/>
      <c r="M8" s="33"/>
      <c r="N8" s="33">
        <f>C30*'E Balans VL '!Y18/100/3.6*1000000</f>
        <v>33.070228745190228</v>
      </c>
      <c r="O8" s="33"/>
      <c r="P8" s="33"/>
      <c r="R8" s="32"/>
    </row>
    <row r="9" spans="1:18">
      <c r="A9" s="6" t="s">
        <v>32</v>
      </c>
      <c r="B9" s="37">
        <f t="shared" si="0"/>
        <v>3943.2528897553798</v>
      </c>
      <c r="C9" s="33"/>
      <c r="D9" s="37">
        <f>IF( ISERROR(IND_andere_gas_kWh/1000),0,IND_andere_gas_kWh/1000)*0.902</f>
        <v>2733.1388816736116</v>
      </c>
      <c r="E9" s="33">
        <f>C31*'E Balans VL '!I19/100/3.6*1000000</f>
        <v>66.231762922465265</v>
      </c>
      <c r="F9" s="33">
        <f>C31*'E Balans VL '!L19/100/3.6*1000000+C31*'E Balans VL '!N19/100/3.6*1000000</f>
        <v>3082.6105182958149</v>
      </c>
      <c r="G9" s="34"/>
      <c r="H9" s="33"/>
      <c r="I9" s="33"/>
      <c r="J9" s="40">
        <f>C31*'E Balans VL '!D19/100/3.6*1000000+C31*'E Balans VL '!E19/100/3.6*1000000</f>
        <v>0.35564660204486526</v>
      </c>
      <c r="K9" s="33"/>
      <c r="L9" s="33"/>
      <c r="M9" s="33"/>
      <c r="N9" s="33">
        <f>C31*'E Balans VL '!Y19/100/3.6*1000000</f>
        <v>292.2583030539069</v>
      </c>
      <c r="O9" s="33"/>
      <c r="P9" s="33"/>
      <c r="R9" s="32"/>
    </row>
    <row r="10" spans="1:18">
      <c r="A10" s="6" t="s">
        <v>40</v>
      </c>
      <c r="B10" s="37">
        <f t="shared" si="0"/>
        <v>3894.5090688673699</v>
      </c>
      <c r="C10" s="33"/>
      <c r="D10" s="37">
        <f>IF( ISERROR(IND_voed_gas_kWh/1000),0,IND_voed_gas_kWh/1000)*0.902</f>
        <v>755.85112181604518</v>
      </c>
      <c r="E10" s="33">
        <f>C32*'E Balans VL '!I20/100/3.6*1000000</f>
        <v>35.531882381180125</v>
      </c>
      <c r="F10" s="33">
        <f>C32*'E Balans VL '!L20/100/3.6*1000000+C32*'E Balans VL '!N20/100/3.6*1000000</f>
        <v>628.30612592322939</v>
      </c>
      <c r="G10" s="34"/>
      <c r="H10" s="33"/>
      <c r="I10" s="33"/>
      <c r="J10" s="40">
        <f>C32*'E Balans VL '!D20/100/3.6*1000000+C32*'E Balans VL '!E20/100/3.6*1000000</f>
        <v>16.040141709337156</v>
      </c>
      <c r="K10" s="33"/>
      <c r="L10" s="33"/>
      <c r="M10" s="33"/>
      <c r="N10" s="33">
        <f>C32*'E Balans VL '!Y20/100/3.6*1000000</f>
        <v>56.973596770940553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148.54202990662</v>
      </c>
      <c r="C12" s="33"/>
      <c r="D12" s="37">
        <f>IF( ISERROR(IND_min_gas_kWh/1000),0,IND_min_gas_kWh/1000)*0.902</f>
        <v>0</v>
      </c>
      <c r="E12" s="33">
        <f>C34*'E Balans VL '!I22/100/3.6*1000000</f>
        <v>3.6843252590003548</v>
      </c>
      <c r="F12" s="33">
        <f>C34*'E Balans VL '!L22/100/3.6*1000000+C34*'E Balans VL '!N22/100/3.6*1000000</f>
        <v>15.784012966959232</v>
      </c>
      <c r="G12" s="34"/>
      <c r="H12" s="33"/>
      <c r="I12" s="33"/>
      <c r="J12" s="40">
        <f>C34*'E Balans VL '!D22/100/3.6*1000000+C34*'E Balans VL '!E22/100/3.6*1000000</f>
        <v>0.84380588871818096</v>
      </c>
      <c r="K12" s="33"/>
      <c r="L12" s="33"/>
      <c r="M12" s="33"/>
      <c r="N12" s="33">
        <f>C34*'E Balans VL '!Y22/100/3.6*1000000</f>
        <v>0</v>
      </c>
      <c r="O12" s="33"/>
      <c r="P12" s="33"/>
      <c r="R12" s="32"/>
    </row>
    <row r="13" spans="1:18">
      <c r="A13" s="6" t="s">
        <v>38</v>
      </c>
      <c r="B13" s="37">
        <f t="shared" si="0"/>
        <v>794.02542761579502</v>
      </c>
      <c r="C13" s="33"/>
      <c r="D13" s="37">
        <f>IF( ISERROR(IND_papier_gas_kWh/1000),0,IND_papier_gas_kWh/1000)*0.902</f>
        <v>0</v>
      </c>
      <c r="E13" s="33">
        <f>C35*'E Balans VL '!I23/100/3.6*1000000</f>
        <v>24.430090185929199</v>
      </c>
      <c r="F13" s="33">
        <f>C35*'E Balans VL '!L23/100/3.6*1000000+C35*'E Balans VL '!N23/100/3.6*1000000</f>
        <v>168.59934783201885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11020.078466811801</v>
      </c>
      <c r="C15" s="33"/>
      <c r="D15" s="37">
        <f>IF( ISERROR(IND_rest_gas_kWh/1000),0,IND_rest_gas_kWh/1000)*0.902</f>
        <v>24724.868212668676</v>
      </c>
      <c r="E15" s="33">
        <f>C37*'E Balans VL '!I15/100/3.6*1000000</f>
        <v>99.453601938257364</v>
      </c>
      <c r="F15" s="33">
        <f>C37*'E Balans VL '!L15/100/3.6*1000000+C37*'E Balans VL '!N15/100/3.6*1000000</f>
        <v>2203.002175096417</v>
      </c>
      <c r="G15" s="34"/>
      <c r="H15" s="33"/>
      <c r="I15" s="33"/>
      <c r="J15" s="40">
        <f>C37*'E Balans VL '!D15/100/3.6*1000000+C37*'E Balans VL '!E15/100/3.6*1000000</f>
        <v>74.202069840997936</v>
      </c>
      <c r="K15" s="33"/>
      <c r="L15" s="33"/>
      <c r="M15" s="33"/>
      <c r="N15" s="33">
        <f>C37*'E Balans VL '!Y15/100/3.6*1000000</f>
        <v>198.31575540342129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28623.671835572219</v>
      </c>
      <c r="C18" s="21">
        <f>C5+C16</f>
        <v>0</v>
      </c>
      <c r="D18" s="21">
        <f>MAX((D5+D16),0)</f>
        <v>32416.954047325155</v>
      </c>
      <c r="E18" s="21">
        <f>MAX((E5+E16),0)</f>
        <v>291.33079171697432</v>
      </c>
      <c r="F18" s="21">
        <f>MAX((F5+F16),0)</f>
        <v>7067.0449409364746</v>
      </c>
      <c r="G18" s="21"/>
      <c r="H18" s="21"/>
      <c r="I18" s="21"/>
      <c r="J18" s="21">
        <f>MAX((J5+J16),0)</f>
        <v>273.48461697407998</v>
      </c>
      <c r="K18" s="21"/>
      <c r="L18" s="21">
        <f>MAX((L5+L16),0)</f>
        <v>0</v>
      </c>
      <c r="M18" s="21"/>
      <c r="N18" s="21">
        <f>MAX((N5+N16),0)</f>
        <v>580.6178839734589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0.21324137925066725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6103.7512614358984</v>
      </c>
      <c r="C22" s="23">
        <f ca="1">C18*C20</f>
        <v>0</v>
      </c>
      <c r="D22" s="23">
        <f>D18*D20</f>
        <v>6548.2247175596813</v>
      </c>
      <c r="E22" s="23">
        <f>E18*E20</f>
        <v>66.132089719753168</v>
      </c>
      <c r="F22" s="23">
        <f>F18*F20</f>
        <v>1886.9009992300389</v>
      </c>
      <c r="G22" s="23"/>
      <c r="H22" s="23"/>
      <c r="I22" s="23"/>
      <c r="J22" s="23">
        <f>J18*J20</f>
        <v>96.813554408824302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8823.2639526152507</v>
      </c>
      <c r="C30" s="39">
        <f>IF(ISERROR(B30*3.6/1000000/'E Balans VL '!Z18*100),0,B30*3.6/1000000/'E Balans VL '!Z18*100)</f>
        <v>0.58737006926206625</v>
      </c>
      <c r="D30" s="234" t="s">
        <v>706</v>
      </c>
    </row>
    <row r="31" spans="1:18">
      <c r="A31" s="6" t="s">
        <v>32</v>
      </c>
      <c r="B31" s="37">
        <f>IF( ISERROR(IND_ander_ele_kWh/1000),0,IND_ander_ele_kWh/1000)</f>
        <v>3943.2528897553798</v>
      </c>
      <c r="C31" s="39">
        <f>IF(ISERROR(B31*3.6/1000000/'E Balans VL '!Z19*100),0,B31*3.6/1000000/'E Balans VL '!Z19*100)</f>
        <v>0.17478877370123072</v>
      </c>
      <c r="D31" s="234" t="s">
        <v>706</v>
      </c>
    </row>
    <row r="32" spans="1:18">
      <c r="A32" s="169" t="s">
        <v>40</v>
      </c>
      <c r="B32" s="37">
        <f>IF( ISERROR(IND_voed_ele_kWh/1000),0,IND_voed_ele_kWh/1000)</f>
        <v>3894.5090688673699</v>
      </c>
      <c r="C32" s="39">
        <f>IF(ISERROR(B32*3.6/1000000/'E Balans VL '!Z20*100),0,B32*3.6/1000000/'E Balans VL '!Z20*100)</f>
        <v>0.13008777480076222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148.54202990662</v>
      </c>
      <c r="C34" s="39">
        <f>IF(ISERROR(B34*3.6/1000000/'E Balans VL '!Z22*100),0,B34*3.6/1000000/'E Balans VL '!Z22*100)</f>
        <v>2.8889793175387174E-2</v>
      </c>
      <c r="D34" s="234" t="s">
        <v>706</v>
      </c>
    </row>
    <row r="35" spans="1:5">
      <c r="A35" s="169" t="s">
        <v>38</v>
      </c>
      <c r="B35" s="37">
        <f>IF( ISERROR(IND_papier_ele_kWh/1000),0,IND_papier_ele_kWh/1000)</f>
        <v>794.02542761579502</v>
      </c>
      <c r="C35" s="39">
        <f>IF(ISERROR(B35*3.6/1000000/'E Balans VL '!Z22*100),0,B35*3.6/1000000/'E Balans VL '!Z22*100)</f>
        <v>0.15442922379773105</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11020.078466811801</v>
      </c>
      <c r="C37" s="39">
        <f>IF(ISERROR(B37*3.6/1000000/'E Balans VL '!Z15*100),0,B37*3.6/1000000/'E Balans VL '!Z15*100)</f>
        <v>8.1971430549550472E-2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10246.201589325023</v>
      </c>
      <c r="C5" s="17">
        <f>'Eigen informatie GS &amp; warmtenet'!B60</f>
        <v>0</v>
      </c>
      <c r="D5" s="30">
        <f>IF(ISERROR(SUM(LB_lb_gas_kWh,LB_rest_gas_kWh)/1000),0,SUM(LB_lb_gas_kWh,LB_rest_gas_kWh)/1000)*0.902</f>
        <v>898.95166727594608</v>
      </c>
      <c r="E5" s="17">
        <f>B17*'E Balans VL '!I25/3.6*1000000/100</f>
        <v>107.30044125559756</v>
      </c>
      <c r="F5" s="17">
        <f>B17*('E Balans VL '!L25/3.6*1000000+'E Balans VL '!N25/3.6*1000000)/100</f>
        <v>43861.528262048458</v>
      </c>
      <c r="G5" s="18"/>
      <c r="H5" s="17"/>
      <c r="I5" s="17"/>
      <c r="J5" s="17">
        <f>('E Balans VL '!D25+'E Balans VL '!E25)/3.6*1000000*landbouw!B17/100</f>
        <v>915.07764019829938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10246.201589325023</v>
      </c>
      <c r="C8" s="21">
        <f>C5+C6</f>
        <v>0</v>
      </c>
      <c r="D8" s="21">
        <f>MAX((D5+D6),0)</f>
        <v>898.95166727594608</v>
      </c>
      <c r="E8" s="21">
        <f>MAX((E5+E6),0)</f>
        <v>107.30044125559756</v>
      </c>
      <c r="F8" s="21">
        <f>MAX((F5+F6),0)</f>
        <v>43861.528262048458</v>
      </c>
      <c r="G8" s="21"/>
      <c r="H8" s="21"/>
      <c r="I8" s="21"/>
      <c r="J8" s="21">
        <f>MAX((J5+J6),0)</f>
        <v>915.07764019829938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0.21324137925066725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2184.9141589880464</v>
      </c>
      <c r="C12" s="23">
        <f ca="1">C8*C10</f>
        <v>0</v>
      </c>
      <c r="D12" s="23">
        <f>D8*D10</f>
        <v>181.58823678974113</v>
      </c>
      <c r="E12" s="23">
        <f>E8*E10</f>
        <v>24.357200165020647</v>
      </c>
      <c r="F12" s="23">
        <f>F8*F10</f>
        <v>11711.028045966939</v>
      </c>
      <c r="G12" s="23"/>
      <c r="H12" s="23"/>
      <c r="I12" s="23"/>
      <c r="J12" s="23">
        <f>J8*J10</f>
        <v>323.93748463019796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1.5770882128387529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1123.4611592716094</v>
      </c>
      <c r="C26" s="244">
        <f>B26*'GWP N2O_CH4'!B5</f>
        <v>23592.684344703797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959.62559550303251</v>
      </c>
      <c r="C27" s="244">
        <f>B27*'GWP N2O_CH4'!B5</f>
        <v>20152.137505563682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20.101608622209145</v>
      </c>
      <c r="C28" s="244">
        <f>B28*'GWP N2O_CH4'!B4</f>
        <v>6231.4986728848353</v>
      </c>
      <c r="D28" s="50"/>
    </row>
    <row r="29" spans="1:4">
      <c r="A29" s="41" t="s">
        <v>272</v>
      </c>
      <c r="B29" s="244">
        <f>B34*'ha_N2O bodem landbouw'!B4</f>
        <v>42.915987484908143</v>
      </c>
      <c r="C29" s="244">
        <f>B29*'GWP N2O_CH4'!B4</f>
        <v>13303.956120321525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7.0924305774457738E-3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2.9810219167092768E-6</v>
      </c>
      <c r="C5" s="435" t="s">
        <v>210</v>
      </c>
      <c r="D5" s="420">
        <f>SUM(D6:D11)</f>
        <v>1.0772744772064546E-5</v>
      </c>
      <c r="E5" s="420">
        <f>SUM(E6:E11)</f>
        <v>1.1234324082500494E-3</v>
      </c>
      <c r="F5" s="433" t="s">
        <v>210</v>
      </c>
      <c r="G5" s="420">
        <f>SUM(G6:G11)</f>
        <v>0.22085968205428164</v>
      </c>
      <c r="H5" s="420">
        <f>SUM(H6:H11)</f>
        <v>3.530273983780792E-2</v>
      </c>
      <c r="I5" s="435" t="s">
        <v>210</v>
      </c>
      <c r="J5" s="435" t="s">
        <v>210</v>
      </c>
      <c r="K5" s="435" t="s">
        <v>210</v>
      </c>
      <c r="L5" s="435" t="s">
        <v>210</v>
      </c>
      <c r="M5" s="420">
        <f>SUM(M6:M11)</f>
        <v>1.1139264018878287E-2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1.6191516583887558E-6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5.1265919398982029E-6</v>
      </c>
      <c r="E6" s="423">
        <f>vkm_GW_PW*SUMIFS(TableVerdeelsleutelVkm[LPG],TableVerdeelsleutelVkm[Voertuigtype],"Lichte voertuigen")*SUMIFS(TableECFTransport[EnergieConsumptieFactor (PJ per km)],TableECFTransport[Index],CONCATENATE($A6,"_LPG_LPG"))</f>
        <v>5.3423545907868325E-4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7.1160296330152722E-2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1.7071201436203994E-2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3.8512303139398361E-3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1.0297960972099463E-7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4.6420856342282671E-2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1.2568438183606151E-6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1.9998297947736274E-3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8.3682140318128941E-7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4.5028962616982554E-6</v>
      </c>
      <c r="E8" s="423">
        <f>vkm_NGW_PW*SUMIFS(TableVerdeelsleutelVkm[LPG],TableVerdeelsleutelVkm[Voertuigtype],"Lichte voertuigen")*SUMIFS(TableECFTransport[EnergieConsumptieFactor (PJ per km)],TableECFTransport[Index],CONCATENATE($A8,"_LPG_LPG"))</f>
        <v>4.428311756457052E-4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5.58480672594584E-2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1.4178379353899413E-2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3.0584497602460844E-3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2.5719647622287963E-8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1.6059275058094676E-2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3.7888859462616975E-7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6.9183767401806526E-4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3.6631799924862006E-7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1.1432565704680885E-6</v>
      </c>
      <c r="E10" s="423">
        <f>vkm_SW_PW*SUMIFS(TableVerdeelsleutelVkm[LPG],TableVerdeelsleutelVkm[Voertuigtype],"Lichte voertuigen")*SUMIFS(TableECFTransport[EnergieConsumptieFactor (PJ per km)],TableECFTransport[Index],CONCATENATE($A10,"_LPG_LPG"))</f>
        <v>1.4636577352566092E-4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1.8308571449958514E-2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4.0511460568545881E-3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9.7517247764854578E-4</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3.0031598547328833E-8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1.3062615614334645E-2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3.7725843694195455E-7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5.6274399825212863E-4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0.82806164353035472</v>
      </c>
      <c r="C14" s="21"/>
      <c r="D14" s="21">
        <f t="shared" ref="D14:M14" si="0">((D5)*10^9/3600)+D12</f>
        <v>2.9924291033512631</v>
      </c>
      <c r="E14" s="21">
        <f t="shared" si="0"/>
        <v>312.06455784723596</v>
      </c>
      <c r="F14" s="21"/>
      <c r="G14" s="21">
        <f t="shared" si="0"/>
        <v>61349.911681744896</v>
      </c>
      <c r="H14" s="21">
        <f t="shared" si="0"/>
        <v>9806.3166216133122</v>
      </c>
      <c r="I14" s="21"/>
      <c r="J14" s="21"/>
      <c r="K14" s="21"/>
      <c r="L14" s="21"/>
      <c r="M14" s="21">
        <f t="shared" si="0"/>
        <v>3094.2400052439684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0.21324137925066725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0.17657700697098719</v>
      </c>
      <c r="C18" s="23"/>
      <c r="D18" s="23">
        <f t="shared" ref="D18:M18" si="1">D14*D16</f>
        <v>0.60447067887695516</v>
      </c>
      <c r="E18" s="23">
        <f t="shared" si="1"/>
        <v>70.838654631322569</v>
      </c>
      <c r="F18" s="23"/>
      <c r="G18" s="23">
        <f t="shared" si="1"/>
        <v>16380.426419025887</v>
      </c>
      <c r="H18" s="23">
        <f t="shared" si="1"/>
        <v>2441.7728387817147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1.2225456727898759E-5</v>
      </c>
      <c r="C50" s="315">
        <f t="shared" ref="C50:P50" si="2">SUM(C51:C52)</f>
        <v>0</v>
      </c>
      <c r="D50" s="315">
        <f t="shared" si="2"/>
        <v>0</v>
      </c>
      <c r="E50" s="315">
        <f t="shared" si="2"/>
        <v>0</v>
      </c>
      <c r="F50" s="315">
        <f t="shared" si="2"/>
        <v>0</v>
      </c>
      <c r="G50" s="315">
        <f t="shared" si="2"/>
        <v>2.6521900952637717E-3</v>
      </c>
      <c r="H50" s="315">
        <f t="shared" si="2"/>
        <v>0</v>
      </c>
      <c r="I50" s="315">
        <f t="shared" si="2"/>
        <v>0</v>
      </c>
      <c r="J50" s="315">
        <f t="shared" si="2"/>
        <v>0</v>
      </c>
      <c r="K50" s="315">
        <f t="shared" si="2"/>
        <v>0</v>
      </c>
      <c r="L50" s="315">
        <f t="shared" si="2"/>
        <v>0</v>
      </c>
      <c r="M50" s="315">
        <f t="shared" si="2"/>
        <v>1.1355659215656992E-4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1.2225456727898759E-5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2.6521900952637717E-3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1.1355659215656992E-4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3.3959602021940998</v>
      </c>
      <c r="C54" s="21">
        <f t="shared" ref="C54:P54" si="3">(C50)*10^9/3600</f>
        <v>0</v>
      </c>
      <c r="D54" s="21">
        <f t="shared" si="3"/>
        <v>0</v>
      </c>
      <c r="E54" s="21">
        <f t="shared" si="3"/>
        <v>0</v>
      </c>
      <c r="F54" s="21">
        <f t="shared" si="3"/>
        <v>0</v>
      </c>
      <c r="G54" s="21">
        <f t="shared" si="3"/>
        <v>736.71947090660331</v>
      </c>
      <c r="H54" s="21">
        <f t="shared" si="3"/>
        <v>0</v>
      </c>
      <c r="I54" s="21">
        <f t="shared" si="3"/>
        <v>0</v>
      </c>
      <c r="J54" s="21">
        <f t="shared" si="3"/>
        <v>0</v>
      </c>
      <c r="K54" s="21">
        <f t="shared" si="3"/>
        <v>0</v>
      </c>
      <c r="L54" s="21">
        <f t="shared" si="3"/>
        <v>0</v>
      </c>
      <c r="M54" s="21">
        <f t="shared" si="3"/>
        <v>31.543497821269423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0.21324137925066725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0.72415923739624466</v>
      </c>
      <c r="C58" s="23">
        <f t="shared" ref="C58:P58" ca="1" si="4">C54*C56</f>
        <v>0</v>
      </c>
      <c r="D58" s="23">
        <f t="shared" si="4"/>
        <v>0</v>
      </c>
      <c r="E58" s="23">
        <f t="shared" si="4"/>
        <v>0</v>
      </c>
      <c r="F58" s="23">
        <f t="shared" si="4"/>
        <v>0</v>
      </c>
      <c r="G58" s="23">
        <f t="shared" si="4"/>
        <v>196.7040987320631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2897.5587645654132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2897.5587645654132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2021-06-29T17:00:48Z</dcterms:modified>
</cp:coreProperties>
</file>