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<sst xmlns="http://schemas.openxmlformats.org/spreadsheetml/2006/main" count="2581" uniqueCount="983">
  <si>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</si>
  <si>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</si>
  <si>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</si>
  <si>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</si>
  <si>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</si>
  <si>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</si>
  <si>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</si>
  <si>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</si>
  <si>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</si>
  <si>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</si>
  <si>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</si>
  <si>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</si>
  <si>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</si>
  <si>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</si>
  <si>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</si>
  <si>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</si>
  <si>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</si>
  <si>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</si>
  <si>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</si>
  <si>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</si>
  <si>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</si>
  <si>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</si>
  <si>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</si>
  <si>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</si>
  <si>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</si>
  <si>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</si>
  <si>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</si>
  <si>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</si>
  <si>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</si>
  <si>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</si>
  <si>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</si>
  <si>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</si>
  <si>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</si>
  <si>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</si>
  <si>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</si>
  <si>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</si>
  <si>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</si>
  <si>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</si>
  <si>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</si>
  <si>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</si>
  <si>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</si>
  <si>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</si>
  <si>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</si>
  <si>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</si>
  <si>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</si>
  <si>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</si>
  <si>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</si>
  <si>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</si>
  <si>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</si>
  <si>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</si>
  <si>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</si>
  <si>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</si>
  <si>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</si>
  <si>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</si>
  <si>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</si>
  <si>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</si>
  <si>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</si>
  <si>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</si>
  <si>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</si>
  <si>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</si>
  <si>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</si>
  <si>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</si>
  <si>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</si>
  <si>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</si>
  <si>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</si>
  <si>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</si>
  <si>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</si>
  <si>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</si>
  <si>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</si>
  <si>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</si>
  <si>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</si>
  <si>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</si>
  <si>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</si>
  <si>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</si>
  <si>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</si>
  <si>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</si>
  <si>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</si>
  <si>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</si>
  <si>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</si>
  <si>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</si>
  <si>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</si>
  <si>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</si>
  <si>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</si>
  <si>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</si>
  <si>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</si>
  <si>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</si>
  <si>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</si>
  <si>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</si>
  <si>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</si>
  <si>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</si>
  <si>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</si>
  <si>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</si>
  <si>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</si>
  <si>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</si>
  <si>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</si>
  <si>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</si>
  <si>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</si>
  <si>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</si>
  <si>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</si>
  <si>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</si>
  <si>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</si>
  <si>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</si>
  <si>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</si>
  <si>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</si>
  <si>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</si>
  <si>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</si>
  <si>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</si>
  <si>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</si>
  <si>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</si>
  <si>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</si>
  <si>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</si>
  <si>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</si>
  <si>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</si>
  <si>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</si>
  <si>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</si>
  <si>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</si>
  <si>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</si>
  <si>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</si>
  <si>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</si>
  <si>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</si>
  <si>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</si>
  <si>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</si>
  <si>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</si>
  <si>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</si>
  <si>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</si>
  <si>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</si>
  <si>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</si>
  <si>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</si>
  <si>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</si>
  <si>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</si>
  <si>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</si>
  <si>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</si>
  <si>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</si>
  <si>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</si>
  <si>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</si>
  <si>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</si>
  <si>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</si>
  <si>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</si>
  <si>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</si>
  <si>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</si>
  <si>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</si>
  <si>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</si>
  <si>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</si>
  <si>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</si>
  <si>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</si>
  <si>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</si>
  <si>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</si>
  <si>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</si>
  <si>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</si>
  <si>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</si>
  <si>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</si>
  <si>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</si>
  <si>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</si>
  <si>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</si>
  <si>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</si>
  <si>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</si>
  <si>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</si>
  <si>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</si>
  <si>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</si>
  <si>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</si>
  <si>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</si>
  <si>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</si>
  <si>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</si>
  <si>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</si>
  <si>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</si>
  <si>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</si>
  <si>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</si>
  <si>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</si>
  <si>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</si>
  <si>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</si>
  <si>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</si>
  <si>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</si>
  <si>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</si>
  <si>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</si>
  <si>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</si>
  <si>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</si>
  <si>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</si>
  <si>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</si>
  <si>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</si>
  <si>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</si>
  <si>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</si>
  <si>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</si>
  <si>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</si>
  <si>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</si>
  <si>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</si>
  <si>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</si>
  <si>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</si>
  <si>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</si>
  <si>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</si>
  <si>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</si>
  <si>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</si>
  <si>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</si>
  <si>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</si>
  <si>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</si>
  <si>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</si>
  <si>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</si>
  <si>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</si>
  <si>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</si>
  <si>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</si>
  <si>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</si>
  <si>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</si>
  <si>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</si>
  <si>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</si>
  <si>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</si>
  <si>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</si>
  <si>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</si>
  <si>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</si>
  <si>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</si>
  <si>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</si>
  <si>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</si>
  <si>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</si>
  <si>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</si>
  <si>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</si>
  <si>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</si>
  <si>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</si>
  <si>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</si>
  <si>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</si>
  <si>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</si>
  <si>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</si>
  <si>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</si>
  <si>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</si>
  <si>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</si>
  <si>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</si>
  <si>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</si>
  <si>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</si>
  <si>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</si>
  <si>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</si>
  <si>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</si>
  <si>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</si>
  <si>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</si>
  <si>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</si>
  <si>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</si>
  <si>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</si>
  <si>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</si>
  <si>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</si>
  <si>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</si>
  <si>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</si>
  <si>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</si>
  <si>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</si>
  <si>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</si>
  <si>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</si>
  <si>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</si>
  <si>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</si>
  <si>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</si>
  <si>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</si>
  <si>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</si>
  <si>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</si>
  <si>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</si>
  <si>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</si>
  <si>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</si>
  <si>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</si>
  <si>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</si>
  <si>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</si>
  <si>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</si>
  <si>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</si>
  <si>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</si>
  <si>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</si>
  <si>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</si>
  <si>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</si>
  <si>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</si>
  <si>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</si>
  <si>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</si>
  <si>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</si>
  <si>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</si>
  <si>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</si>
  <si>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</si>
  <si>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</si>
  <si>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</si>
  <si>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</si>
  <si>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</si>
  <si>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</si>
  <si>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</si>
  <si>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</si>
  <si>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</si>
  <si>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</si>
  <si>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</si>
  <si>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</si>
  <si>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</si>
  <si>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</si>
  <si>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</si>
  <si>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</si>
  <si>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</si>
  <si>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</si>
  <si>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</si>
  <si>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</si>
  <si>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</si>
  <si>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</si>
  <si>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</si>
  <si>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</si>
  <si>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</si>
  <si>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</si>
  <si>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</si>
  <si>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</si>
  <si>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</si>
  <si>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</si>
  <si>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</si>
  <si>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</si>
  <si>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</si>
  <si>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</si>
  <si>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</si>
  <si>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</si>
  <si>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</si>
  <si>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</si>
  <si>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</si>
  <si>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</si>
  <si>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</si>
  <si>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</si>
  <si>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</si>
  <si>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</si>
  <si>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</si>
  <si>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</si>
  <si>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</si>
  <si>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</si>
  <si>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</si>
  <si>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</si>
  <si>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</si>
  <si>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</si>
  <si>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</si>
  <si>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</si>
  <si>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</si>
  <si>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</si>
  <si>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</si>
  <si>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</si>
  <si>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</si>
  <si>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</si>
  <si>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</si>
  <si>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</si>
  <si>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</si>
  <si>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</si>
  <si>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</si>
  <si>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</si>
  <si>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</si>
  <si>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</si>
  <si>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</si>
  <si>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</si>
  <si>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</si>
  <si>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</si>
  <si>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</si>
  <si>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</si>
  <si>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</si>
  <si>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</si>
  <si>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</si>
  <si>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</si>
  <si>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</si>
  <si>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</si>
  <si>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</si>
  <si>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</si>
  <si>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</si>
  <si>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</si>
  <si>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</si>
  <si>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</si>
  <si>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</si>
  <si>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</si>
  <si>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</si>
  <si>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</si>
  <si>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</si>
  <si>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</si>
  <si>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</si>
  <si>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</si>
  <si>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</si>
  <si>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</si>
  <si>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</si>
  <si>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</si>
  <si>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</si>
  <si>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</si>
  <si>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</si>
  <si>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</si>
  <si>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</si>
  <si>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</si>
  <si>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</si>
  <si>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</si>
  <si>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</si>
  <si>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</si>
  <si>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</si>
  <si>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</si>
  <si>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</si>
  <si>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</si>
  <si>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</si>
  <si>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</si>
  <si>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</si>
  <si>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</si>
  <si>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</si>
  <si>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</si>
  <si>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</si>
  <si>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</si>
  <si>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</si>
  <si>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</si>
  <si>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</si>
  <si>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</si>
  <si>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</si>
  <si>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</si>
  <si>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</si>
  <si>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</si>
  <si>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</si>
  <si>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</si>
  <si>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</si>
  <si>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</si>
  <si>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</si>
  <si>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</si>
  <si>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</si>
  <si>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</si>
  <si>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</si>
  <si>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</si>
  <si>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</si>
  <si>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</si>
  <si>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</si>
  <si>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</si>
  <si>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</si>
  <si>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</si>
  <si>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</si>
  <si>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</si>
  <si>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</si>
  <si>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</si>
  <si>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</si>
  <si>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</si>
  <si>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</si>
  <si>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</si>
  <si>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</si>
  <si>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</si>
  <si>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</si>
  <si>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</si>
  <si>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</si>
  <si>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</si>
  <si>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</si>
  <si>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</si>
  <si>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</si>
  <si>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</si>
  <si>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</si>
  <si>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</si>
  <si>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</si>
  <si>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</si>
  <si>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</si>
  <si>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</si>
  <si>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</si>
  <si>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</si>
  <si>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</si>
  <si>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</si>
  <si>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</si>
  <si>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</si>
  <si>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</si>
  <si>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</si>
  <si>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</si>
  <si>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</si>
  <si>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</si>
  <si>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</si>
  <si>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</si>
  <si>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</si>
  <si>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</si>
  <si>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</si>
  <si>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</si>
  <si>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</si>
  <si>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</si>
  <si>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</si>
  <si>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</si>
  <si>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</si>
  <si>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</si>
  <si>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</si>
  <si>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</si>
  <si>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</si>
  <si>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</si>
  <si>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</si>
  <si>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</si>
  <si>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</si>
  <si>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</si>
  <si>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</si>
  <si>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</si>
  <si>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</si>
  <si>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</si>
  <si>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</si>
  <si>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</si>
  <si>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</si>
  <si>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</si>
  <si>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</si>
  <si>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</si>
  <si>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</si>
  <si>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</si>
  <si>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</si>
  <si>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</si>
  <si>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</si>
  <si>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</si>
  <si>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</si>
  <si>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</si>
  <si>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</si>
  <si>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</si>
  <si>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</si>
  <si>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</si>
  <si>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</si>
  <si>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</si>
  <si>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</si>
  <si>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</si>
  <si>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</si>
  <si>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</si>
  <si>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</si>
  <si>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</si>
  <si>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</si>
  <si>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</si>
  <si>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</si>
  <si>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</si>
  <si>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</si>
  <si>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</si>
  <si>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</si>
  <si>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</si>
  <si>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</si>
  <si>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</si>
  <si>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</si>
  <si>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</si>
  <si>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</si>
  <si>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</si>
  <si>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</si>
  <si>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</si>
  <si>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</si>
  <si>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</si>
  <si>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</si>
  <si>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</si>
  <si>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</si>
  <si>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</si>
  <si>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</si>
  <si>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</si>
  <si>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</si>
  <si>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</si>
  <si>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</si>
  <si>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</si>
  <si>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</si>
  <si>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</si>
  <si>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</si>
  <si>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</si>
  <si>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</si>
  <si>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</si>
  <si>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</si>
  <si>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</si>
  <si>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</si>
  <si>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</si>
  <si>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</si>
  <si>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</si>
  <si>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</si>
  <si>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</si>
  <si>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</si>
  <si>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</si>
  <si>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</si>
  <si>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</si>
  <si>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</si>
  <si>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</si>
  <si>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</si>
  <si>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</si>
  <si>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</si>
  <si>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</si>
  <si>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</si>
  <si>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</si>
  <si>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</si>
  <si>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</si>
  <si>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</si>
  <si>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</si>
  <si>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</si>
  <si>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</si>
  <si>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</si>
  <si>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</si>
  <si>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</si>
  <si>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</si>
  <si>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</si>
  <si>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</si>
  <si>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</si>
  <si>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</si>
  <si>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</si>
  <si>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</si>
  <si>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</si>
  <si>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</si>
  <si>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</si>
  <si>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</si>
  <si>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</si>
  <si>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</si>
  <si>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</si>
  <si>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</si>
  <si>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</si>
  <si>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</si>
  <si>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</si>
  <si>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</si>
  <si>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</si>
  <si>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</si>
  <si>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</si>
  <si>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</si>
  <si>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</si>
  <si>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</si>
  <si>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</si>
  <si>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</si>
  <si>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</si>
  <si>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</si>
  <si>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</si>
  <si>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</si>
  <si>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</si>
  <si>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</si>
  <si>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</si>
  <si>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</si>
  <si>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</si>
  <si>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</si>
  <si>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</si>
  <si>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</si>
  <si>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</si>
  <si>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</si>
  <si>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</si>
  <si>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</si>
  <si>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</si>
  <si>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</si>
  <si>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</si>
  <si>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</si>
  <si>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</si>
  <si>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</si>
  <si>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</si>
  <si>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</si>
  <si>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</si>
  <si>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</si>
  <si>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</si>
  <si>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</si>
  <si>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</si>
  <si>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</si>
  <si>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</si>
  <si>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</si>
  <si>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</si>
  <si>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</si>
  <si>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</si>
  <si>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</si>
  <si>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</si>
  <si>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</si>
  <si>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</si>
  <si>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</si>
  <si>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</si>
  <si>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</si>
  <si>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</si>
  <si>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</si>
  <si>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</si>
  <si>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</si>
  <si>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</si>
  <si>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</si>
  <si>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</si>
  <si>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</si>
  <si>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</si>
  <si>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</si>
  <si>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</si>
  <si>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</si>
  <si>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</si>
  <si>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</si>
  <si>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</si>
  <si>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</si>
  <si>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</si>
  <si>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</si>
  <si>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</si>
  <si>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</si>
  <si>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</si>
  <si>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</si>
  <si>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</si>
  <si>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</si>
  <si>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</si>
  <si>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</si>
  <si>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</si>
  <si>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</si>
  <si>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</si>
  <si>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</si>
  <si>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</si>
  <si>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</si>
  <si>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</si>
  <si>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</si>
  <si>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</si>
  <si>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</si>
  <si>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</si>
  <si>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</si>
  <si>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</si>
  <si>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</si>
  <si>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</si>
  <si>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</si>
  <si>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</si>
  <si>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</si>
  <si>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</si>
  <si>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</si>
  <si>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</si>
  <si>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</si>
  <si>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</si>
  <si>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</si>
  <si>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</si>
  <si>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</si>
  <si>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</si>
  <si>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</si>
  <si>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</si>
  <si>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</si>
  <si>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</si>
  <si>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</si>
  <si>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</si>
  <si>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</si>
  <si>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</si>
  <si>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</si>
  <si>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</si>
  <si>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</si>
  <si>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</si>
  <si>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</si>
  <si>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</si>
  <si>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</si>
  <si>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</si>
  <si>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</si>
  <si>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</si>
  <si>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</si>
  <si>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</si>
  <si>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</si>
  <si>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</si>
  <si>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</si>
  <si>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</si>
  <si>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</si>
  <si>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</si>
  <si>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</si>
  <si>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</si>
  <si>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</si>
  <si>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</si>
  <si>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</si>
  <si>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</si>
  <si>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</si>
  <si>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</si>
  <si>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</si>
  <si>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</si>
  <si>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</si>
  <si>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</si>
  <si>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</si>
  <si>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</si>
  <si>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</si>
  <si>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</si>
  <si>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</si>
  <si>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</si>
  <si>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</si>
  <si>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</si>
  <si>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</si>
  <si>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</si>
  <si>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</si>
  <si>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</si>
  <si>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</si>
  <si>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</si>
  <si>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</si>
  <si>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</si>
  <si>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</si>
  <si>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</si>
  <si>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</si>
  <si>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</si>
  <si>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</si>
  <si>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</si>
  <si>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</si>
  <si>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</si>
  <si>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</si>
  <si>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</si>
  <si>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</si>
  <si>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</si>
  <si>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</si>
  <si>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</si>
  <si>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</si>
  <si>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</si>
  <si>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</si>
  <si>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</si>
  <si>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</si>
  <si>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</si>
  <si>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</si>
  <si>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</si>
  <si>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</si>
  <si>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</si>
  <si>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</si>
  <si>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</si>
  <si>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</si>
  <si>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</si>
  <si>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</si>
  <si>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</si>
  <si>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</si>
  <si>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</si>
  <si>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</si>
  <si>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</si>
  <si>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</si>
  <si>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</si>
  <si>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</si>
  <si>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</si>
  <si>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</si>
  <si>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</si>
  <si>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</si>
  <si>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</si>
  <si>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</si>
  <si>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</si>
  <si>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</si>
  <si>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</si>
  <si>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</si>
  <si>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</si>
  <si>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</si>
  <si>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</si>
  <si>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</si>
  <si>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</si>
  <si>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</si>
  <si>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</si>
  <si>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</si>
  <si>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</si>
  <si>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</si>
  <si>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</si>
  <si>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</si>
  <si>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</si>
  <si>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</si>
  <si>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</si>
  <si>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</si>
  <si>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</si>
  <si>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</si>
  <si>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</si>
  <si>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</si>
  <si>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</si>
  <si>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</si>
  <si>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</si>
  <si>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</si>
  <si>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</si>
  <si>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</si>
  <si>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</si>
  <si>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</si>
  <si>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</si>
  <si>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</si>
  <si>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</si>
  <si>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</si>
  <si>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</si>
  <si>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</si>
  <si>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</si>
  <si>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</si>
  <si>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</si>
  <si>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</si>
  <si>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</si>
  <si>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</si>
  <si>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</si>
  <si>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</si>
  <si>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</si>
  <si>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</si>
  <si>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</si>
  <si>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</si>
  <si>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</si>
  <si>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</si>
  <si>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</si>
  <si>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</si>
  <si>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</si>
  <si>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</si>
  <si>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</si>
  <si>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</si>
  <si>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</si>
  <si>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</si>
  <si>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</si>
  <si>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</si>
  <si>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</si>
  <si>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</si>
  <si>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</si>
  <si>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</si>
  <si>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</si>
  <si>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</si>
  <si>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</si>
  <si>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</si>
  <si>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</si>
  <si>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</si>
  <si>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</si>
  <si>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</si>
  <si>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</si>
  <si>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</si>
  <si>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</si>
  <si>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</si>
  <si>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</si>
  <si>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</si>
  <si>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</si>
  <si>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</si>
  <si>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</si>
  <si>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</si>
  <si>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</si>
  <si>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</si>
  <si>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</si>
  <si>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</si>
  <si>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</si>
  <si>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</si>
  <si>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</si>
  <si>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</si>
  <si>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</si>
  <si>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</si>
  <si>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</si>
  <si>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</si>
  <si>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</si>
  <si>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</si>
  <si>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</si>
  <si>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</si>
  <si>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</si>
  <si>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</si>
  <si>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</si>
  <si>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</si>
  <si>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</si>
  <si>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</si>
  <si>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</si>
  <si>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</si>
  <si>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</si>
  <si>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</si>
  <si>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</si>
  <si>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</si>
  <si>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</si>
  <si>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</si>
  <si>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</si>
  <si>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</si>
  <si>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</si>
  <si>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</si>
  <si>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</si>
  <si>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</si>
  <si>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</si>
  <si>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</si>
  <si>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</si>
  <si>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</si>
  <si>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</si>
  <si>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</si>
  <si>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</si>
  <si>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</si>
  <si>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</si>
  <si>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</si>
  <si>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</si>
  <si>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</si>
  <si>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</si>
  <si>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</si>
  <si>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</si>
  <si>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</si>
  <si>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</si>
  <si>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</si>
  <si>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</si>
  <si>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</si>
  <si>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</si>
  <si>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</si>
  <si>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</si>
  <si>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</si>
  <si>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</si>
  <si>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</si>
  <si>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</si>
  <si>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</si>
  <si>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</si>
  <si>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</si>
  <si>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</si>
  <si>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</si>
  <si>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</si>
  <si>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</si>
  <si>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</si>
  <si>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</si>
  <si>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</si>
  <si>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</si>
  <si>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</si>
  <si>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</si>
  <si>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</si>
  <si>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</si>
  <si>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</si>
  <si>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</si>
  <si>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</si>
  <si>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</si>
  <si>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</si>
  <si>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</si>
  <si>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</si>
  <si>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</si>
  <si>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</si>
  <si>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</si>
  <si>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</si>
  <si>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</si>
  <si>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</si>
  <si>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</si>
  <si>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</si>
  <si>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</si>
  <si>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</si>
  <si>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</si>
  <si>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</si>
  <si>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</si>
  <si>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</si>
  <si>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</si>
  <si>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</si>
  <si>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</si>
  <si>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</si>
  <si>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</si>
  <si>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</si>
  <si>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</si>
  <si>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</si>
  <si>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</si>
  <si>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</si>
  <si>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</si>
  <si>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</si>
  <si>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</si>
  <si>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</si>
  <si>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</si>
  <si>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</si>
  <si>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</si>
  <si>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35014</t>
  </si>
  <si>
    <t>OUDENBURG</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</si>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</sst>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35014</v>
      </c>
      <c r="B6" s="386"/>
      <c r="C6" s="387"/>
    </row>
    <row r="7" spans="1:7" s="384" customFormat="1" ht="15.75" customHeight="1">
      <c r="A7" s="388" t="str">
        <f>txtMunicipality</f>
        <v>OUDENBURG</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7789.692</v>
      </c>
      <c r="D10" s="676">
        <f ca="1">tertiair!C16</f>
        <v>0</v>
      </c>
      <c r="E10" s="676">
        <f ca="1">tertiair!D16</f>
        <v>6157.6969300000001</v>
      </c>
      <c r="F10" s="676">
        <f>tertiair!E16</f>
        <v>114.93914011078525</v>
      </c>
      <c r="G10" s="676">
        <f ca="1">tertiair!F16</f>
        <v>1227.2870256791846</v>
      </c>
      <c r="H10" s="676">
        <f>tertiair!G16</f>
        <v>0</v>
      </c>
      <c r="I10" s="676">
        <f>tertiair!H16</f>
        <v>0</v>
      </c>
      <c r="J10" s="676">
        <f>tertiair!I16</f>
        <v>0</v>
      </c>
      <c r="K10" s="676">
        <f>tertiair!J16</f>
        <v>0</v>
      </c>
      <c r="L10" s="676">
        <f>tertiair!K16</f>
        <v>0</v>
      </c>
      <c r="M10" s="676">
        <f ca="1">tertiair!L16</f>
        <v>0</v>
      </c>
      <c r="N10" s="676">
        <f>tertiair!M16</f>
        <v>0</v>
      </c>
      <c r="O10" s="676">
        <f ca="1">tertiair!N16</f>
        <v>169.77926778998733</v>
      </c>
      <c r="P10" s="676">
        <f>tertiair!O16</f>
        <v>1.5633333333333335</v>
      </c>
      <c r="Q10" s="677">
        <f>tertiair!P16</f>
        <v>38.133333333333333</v>
      </c>
      <c r="R10" s="679">
        <f ca="1">SUM(C10:Q10)</f>
        <v>15499.091030246625</v>
      </c>
      <c r="S10" s="67"/>
    </row>
    <row r="11" spans="1:19" s="445" customFormat="1">
      <c r="A11" s="791" t="s">
        <v>220</v>
      </c>
      <c r="B11" s="796"/>
      <c r="C11" s="676">
        <f>huishoudens!B8</f>
        <v>18393.59421010418</v>
      </c>
      <c r="D11" s="676">
        <f>huishoudens!C8</f>
        <v>0</v>
      </c>
      <c r="E11" s="676">
        <f>huishoudens!D8</f>
        <v>41010.73724195431</v>
      </c>
      <c r="F11" s="676">
        <f>huishoudens!E8</f>
        <v>558.05419813473372</v>
      </c>
      <c r="G11" s="676">
        <f>huishoudens!F8</f>
        <v>19048.842788521622</v>
      </c>
      <c r="H11" s="676">
        <f>huishoudens!G8</f>
        <v>0</v>
      </c>
      <c r="I11" s="676">
        <f>huishoudens!H8</f>
        <v>0</v>
      </c>
      <c r="J11" s="676">
        <f>huishoudens!I8</f>
        <v>0</v>
      </c>
      <c r="K11" s="676">
        <f>huishoudens!J8</f>
        <v>428.93164531053452</v>
      </c>
      <c r="L11" s="676">
        <f>huishoudens!K8</f>
        <v>0</v>
      </c>
      <c r="M11" s="676">
        <f>huishoudens!L8</f>
        <v>0</v>
      </c>
      <c r="N11" s="676">
        <f>huishoudens!M8</f>
        <v>0</v>
      </c>
      <c r="O11" s="676">
        <f>huishoudens!N8</f>
        <v>4296.2113479440259</v>
      </c>
      <c r="P11" s="676">
        <f>huishoudens!O8</f>
        <v>57.843333333333334</v>
      </c>
      <c r="Q11" s="677">
        <f>huishoudens!P8</f>
        <v>57.2</v>
      </c>
      <c r="R11" s="679">
        <f>SUM(C11:Q11)</f>
        <v>83851.414765302732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1618.1880000000001</v>
      </c>
      <c r="D13" s="676">
        <f>industrie!C18</f>
        <v>0</v>
      </c>
      <c r="E13" s="676">
        <f>industrie!D18</f>
        <v>2993.1598180000001</v>
      </c>
      <c r="F13" s="676">
        <f>industrie!E18</f>
        <v>22.87569156406623</v>
      </c>
      <c r="G13" s="676">
        <f>industrie!F18</f>
        <v>886.34300713014011</v>
      </c>
      <c r="H13" s="676">
        <f>industrie!G18</f>
        <v>0</v>
      </c>
      <c r="I13" s="676">
        <f>industrie!H18</f>
        <v>0</v>
      </c>
      <c r="J13" s="676">
        <f>industrie!I18</f>
        <v>0</v>
      </c>
      <c r="K13" s="676">
        <f>industrie!J18</f>
        <v>3.7998855981224144</v>
      </c>
      <c r="L13" s="676">
        <f>industrie!K18</f>
        <v>0</v>
      </c>
      <c r="M13" s="676">
        <f>industrie!L18</f>
        <v>0</v>
      </c>
      <c r="N13" s="676">
        <f>industrie!M18</f>
        <v>0</v>
      </c>
      <c r="O13" s="676">
        <f>industrie!N18</f>
        <v>82.721567987304624</v>
      </c>
      <c r="P13" s="676">
        <f>industrie!O18</f>
        <v>0</v>
      </c>
      <c r="Q13" s="677">
        <f>industrie!P18</f>
        <v>0</v>
      </c>
      <c r="R13" s="679">
        <f>SUM(C13:Q13)</f>
        <v>5607.0879702796328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27801.474210104177</v>
      </c>
      <c r="D16" s="709">
        <f t="shared" ref="D16:R16" ca="1" si="0">SUM(D9:D15)</f>
        <v>0</v>
      </c>
      <c r="E16" s="709">
        <f t="shared" ca="1" si="0"/>
        <v>50161.593989954308</v>
      </c>
      <c r="F16" s="709">
        <f t="shared" si="0"/>
        <v>695.86902980958519</v>
      </c>
      <c r="G16" s="709">
        <f t="shared" ca="1" si="0"/>
        <v>21162.472821330946</v>
      </c>
      <c r="H16" s="709">
        <f t="shared" si="0"/>
        <v>0</v>
      </c>
      <c r="I16" s="709">
        <f t="shared" si="0"/>
        <v>0</v>
      </c>
      <c r="J16" s="709">
        <f t="shared" si="0"/>
        <v>0</v>
      </c>
      <c r="K16" s="709">
        <f t="shared" si="0"/>
        <v>432.73153090865691</v>
      </c>
      <c r="L16" s="709">
        <f t="shared" si="0"/>
        <v>0</v>
      </c>
      <c r="M16" s="709">
        <f t="shared" ca="1" si="0"/>
        <v>0</v>
      </c>
      <c r="N16" s="709">
        <f t="shared" si="0"/>
        <v>0</v>
      </c>
      <c r="O16" s="709">
        <f t="shared" ca="1" si="0"/>
        <v>4548.7121837213172</v>
      </c>
      <c r="P16" s="709">
        <f t="shared" si="0"/>
        <v>59.406666666666666</v>
      </c>
      <c r="Q16" s="709">
        <f t="shared" si="0"/>
        <v>95.333333333333343</v>
      </c>
      <c r="R16" s="709">
        <f t="shared" ca="1" si="0"/>
        <v>104957.59376582899</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5.1542832701900103</v>
      </c>
      <c r="D19" s="676">
        <f>transport!C54</f>
        <v>0</v>
      </c>
      <c r="E19" s="676">
        <f>transport!D54</f>
        <v>0</v>
      </c>
      <c r="F19" s="676">
        <f>transport!E54</f>
        <v>0</v>
      </c>
      <c r="G19" s="676">
        <f>transport!F54</f>
        <v>0</v>
      </c>
      <c r="H19" s="676">
        <f>transport!G54</f>
        <v>1118.1700071937723</v>
      </c>
      <c r="I19" s="676">
        <f>transport!H54</f>
        <v>0</v>
      </c>
      <c r="J19" s="676">
        <f>transport!I54</f>
        <v>0</v>
      </c>
      <c r="K19" s="676">
        <f>transport!J54</f>
        <v>0</v>
      </c>
      <c r="L19" s="676">
        <f>transport!K54</f>
        <v>0</v>
      </c>
      <c r="M19" s="676">
        <f>transport!L54</f>
        <v>0</v>
      </c>
      <c r="N19" s="676">
        <f>transport!M54</f>
        <v>47.875744538584364</v>
      </c>
      <c r="O19" s="676">
        <f>transport!N54</f>
        <v>0</v>
      </c>
      <c r="P19" s="676">
        <f>transport!O54</f>
        <v>0</v>
      </c>
      <c r="Q19" s="677">
        <f>transport!P54</f>
        <v>0</v>
      </c>
      <c r="R19" s="679">
        <f>SUM(C19:Q19)</f>
        <v>1171.2000350025467</v>
      </c>
      <c r="S19" s="67"/>
    </row>
    <row r="20" spans="1:19" s="445" customFormat="1">
      <c r="A20" s="791" t="s">
        <v>302</v>
      </c>
      <c r="B20" s="796"/>
      <c r="C20" s="676">
        <f>transport!B14</f>
        <v>1.6445589642856735</v>
      </c>
      <c r="D20" s="676">
        <f>transport!C14</f>
        <v>0</v>
      </c>
      <c r="E20" s="676">
        <f>transport!D14</f>
        <v>5.1246907385531024</v>
      </c>
      <c r="F20" s="676">
        <f>transport!E14</f>
        <v>601.35137356662744</v>
      </c>
      <c r="G20" s="676">
        <f>transport!F14</f>
        <v>0</v>
      </c>
      <c r="H20" s="676">
        <f>transport!G14</f>
        <v>120499.54736411985</v>
      </c>
      <c r="I20" s="676">
        <f>transport!H14</f>
        <v>17584.040212290303</v>
      </c>
      <c r="J20" s="676">
        <f>transport!I14</f>
        <v>0</v>
      </c>
      <c r="K20" s="676">
        <f>transport!J14</f>
        <v>0</v>
      </c>
      <c r="L20" s="676">
        <f>transport!K14</f>
        <v>0</v>
      </c>
      <c r="M20" s="676">
        <f>transport!L14</f>
        <v>0</v>
      </c>
      <c r="N20" s="676">
        <f>transport!M14</f>
        <v>6000.327740859715</v>
      </c>
      <c r="O20" s="676">
        <f>transport!N14</f>
        <v>0</v>
      </c>
      <c r="P20" s="676">
        <f>transport!O14</f>
        <v>0</v>
      </c>
      <c r="Q20" s="677">
        <f>transport!P14</f>
        <v>0</v>
      </c>
      <c r="R20" s="679">
        <f>SUM(C20:Q20)</f>
        <v>144692.03594053932</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6.7988422344756838</v>
      </c>
      <c r="D22" s="794">
        <f t="shared" ref="D22:R22" si="1">SUM(D18:D21)</f>
        <v>0</v>
      </c>
      <c r="E22" s="794">
        <f t="shared" si="1"/>
        <v>5.1246907385531024</v>
      </c>
      <c r="F22" s="794">
        <f t="shared" si="1"/>
        <v>601.35137356662744</v>
      </c>
      <c r="G22" s="794">
        <f t="shared" si="1"/>
        <v>0</v>
      </c>
      <c r="H22" s="794">
        <f t="shared" si="1"/>
        <v>121617.71737131361</v>
      </c>
      <c r="I22" s="794">
        <f t="shared" si="1"/>
        <v>17584.040212290303</v>
      </c>
      <c r="J22" s="794">
        <f t="shared" si="1"/>
        <v>0</v>
      </c>
      <c r="K22" s="794">
        <f t="shared" si="1"/>
        <v>0</v>
      </c>
      <c r="L22" s="794">
        <f t="shared" si="1"/>
        <v>0</v>
      </c>
      <c r="M22" s="794">
        <f t="shared" si="1"/>
        <v>0</v>
      </c>
      <c r="N22" s="794">
        <f t="shared" si="1"/>
        <v>6048.2034853982996</v>
      </c>
      <c r="O22" s="794">
        <f t="shared" si="1"/>
        <v>0</v>
      </c>
      <c r="P22" s="794">
        <f t="shared" si="1"/>
        <v>0</v>
      </c>
      <c r="Q22" s="794">
        <f t="shared" si="1"/>
        <v>0</v>
      </c>
      <c r="R22" s="794">
        <f t="shared" si="1"/>
        <v>145863.23597554187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1535.1279999999999</v>
      </c>
      <c r="D24" s="676">
        <f>+landbouw!C8</f>
        <v>0</v>
      </c>
      <c r="E24" s="676">
        <f>+landbouw!D8</f>
        <v>115.81860399999999</v>
      </c>
      <c r="F24" s="676">
        <f>+landbouw!E8</f>
        <v>16.076192757659186</v>
      </c>
      <c r="G24" s="676">
        <f>+landbouw!F8</f>
        <v>6571.5142895502559</v>
      </c>
      <c r="H24" s="676">
        <f>+landbouw!G8</f>
        <v>0</v>
      </c>
      <c r="I24" s="676">
        <f>+landbouw!H8</f>
        <v>0</v>
      </c>
      <c r="J24" s="676">
        <f>+landbouw!I8</f>
        <v>0</v>
      </c>
      <c r="K24" s="676">
        <f>+landbouw!J8</f>
        <v>137.10068998699791</v>
      </c>
      <c r="L24" s="676">
        <f>+landbouw!K8</f>
        <v>0</v>
      </c>
      <c r="M24" s="676">
        <f>+landbouw!L8</f>
        <v>0</v>
      </c>
      <c r="N24" s="676">
        <f>+landbouw!M8</f>
        <v>0</v>
      </c>
      <c r="O24" s="676">
        <f>+landbouw!N8</f>
        <v>0</v>
      </c>
      <c r="P24" s="676">
        <f>+landbouw!O8</f>
        <v>0</v>
      </c>
      <c r="Q24" s="677">
        <f>+landbouw!P8</f>
        <v>0</v>
      </c>
      <c r="R24" s="679">
        <f>SUM(C24:Q24)</f>
        <v>8375.6377762949123</v>
      </c>
      <c r="S24" s="67"/>
    </row>
    <row r="25" spans="1:19" s="445" customFormat="1" ht="15" thickBot="1">
      <c r="A25" s="813" t="s">
        <v>895</v>
      </c>
      <c r="B25" s="968"/>
      <c r="C25" s="969">
        <f>IF(Onbekend_ele_kWh="---",0,Onbekend_ele_kWh)/1000+IF(REST_rest_ele_kWh="---",0,REST_rest_ele_kWh)/1000</f>
        <v>859.58299999999997</v>
      </c>
      <c r="D25" s="969"/>
      <c r="E25" s="969">
        <f>IF(onbekend_gas_kWh="---",0,onbekend_gas_kWh)/1000+IF(REST_rest_gas_kWh="---",0,REST_rest_gas_kWh)/1000</f>
        <v>1541.463</v>
      </c>
      <c r="F25" s="969"/>
      <c r="G25" s="969"/>
      <c r="H25" s="969"/>
      <c r="I25" s="969"/>
      <c r="J25" s="969"/>
      <c r="K25" s="969"/>
      <c r="L25" s="969"/>
      <c r="M25" s="969"/>
      <c r="N25" s="969"/>
      <c r="O25" s="969"/>
      <c r="P25" s="969"/>
      <c r="Q25" s="970"/>
      <c r="R25" s="679">
        <f>SUM(C25:Q25)</f>
        <v>2401.0459999999998</v>
      </c>
      <c r="S25" s="67"/>
    </row>
    <row r="26" spans="1:19" s="445" customFormat="1" ht="15.75" thickBot="1">
      <c r="A26" s="682" t="s">
        <v>896</v>
      </c>
      <c r="B26" s="799"/>
      <c r="C26" s="794">
        <f>SUM(C24:C25)</f>
        <v>2394.7109999999998</v>
      </c>
      <c r="D26" s="794">
        <f t="shared" ref="D26:R26" si="2">SUM(D24:D25)</f>
        <v>0</v>
      </c>
      <c r="E26" s="794">
        <f t="shared" si="2"/>
        <v>1657.281604</v>
      </c>
      <c r="F26" s="794">
        <f t="shared" si="2"/>
        <v>16.076192757659186</v>
      </c>
      <c r="G26" s="794">
        <f t="shared" si="2"/>
        <v>6571.5142895502559</v>
      </c>
      <c r="H26" s="794">
        <f t="shared" si="2"/>
        <v>0</v>
      </c>
      <c r="I26" s="794">
        <f t="shared" si="2"/>
        <v>0</v>
      </c>
      <c r="J26" s="794">
        <f t="shared" si="2"/>
        <v>0</v>
      </c>
      <c r="K26" s="794">
        <f t="shared" si="2"/>
        <v>137.10068998699791</v>
      </c>
      <c r="L26" s="794">
        <f t="shared" si="2"/>
        <v>0</v>
      </c>
      <c r="M26" s="794">
        <f t="shared" si="2"/>
        <v>0</v>
      </c>
      <c r="N26" s="794">
        <f t="shared" si="2"/>
        <v>0</v>
      </c>
      <c r="O26" s="794">
        <f t="shared" si="2"/>
        <v>0</v>
      </c>
      <c r="P26" s="794">
        <f t="shared" si="2"/>
        <v>0</v>
      </c>
      <c r="Q26" s="794">
        <f t="shared" si="2"/>
        <v>0</v>
      </c>
      <c r="R26" s="794">
        <f t="shared" si="2"/>
        <v>10776.683776294913</v>
      </c>
      <c r="S26" s="67"/>
    </row>
    <row r="27" spans="1:19" s="445" customFormat="1" ht="17.25" thickTop="1" thickBot="1">
      <c r="A27" s="683" t="s">
        <v>115</v>
      </c>
      <c r="B27" s="786"/>
      <c r="C27" s="684">
        <f ca="1">C22+C16+C26</f>
        <v>30202.984052338652</v>
      </c>
      <c r="D27" s="684">
        <f t="shared" ref="D27:R27" ca="1" si="3">D22+D16+D26</f>
        <v>0</v>
      </c>
      <c r="E27" s="684">
        <f t="shared" ca="1" si="3"/>
        <v>51824.000284692862</v>
      </c>
      <c r="F27" s="684">
        <f t="shared" si="3"/>
        <v>1313.2965961338718</v>
      </c>
      <c r="G27" s="684">
        <f t="shared" ca="1" si="3"/>
        <v>27733.9871108812</v>
      </c>
      <c r="H27" s="684">
        <f t="shared" si="3"/>
        <v>121617.71737131361</v>
      </c>
      <c r="I27" s="684">
        <f t="shared" si="3"/>
        <v>17584.040212290303</v>
      </c>
      <c r="J27" s="684">
        <f t="shared" si="3"/>
        <v>0</v>
      </c>
      <c r="K27" s="684">
        <f t="shared" si="3"/>
        <v>569.83222089565481</v>
      </c>
      <c r="L27" s="684">
        <f t="shared" si="3"/>
        <v>0</v>
      </c>
      <c r="M27" s="684">
        <f t="shared" ca="1" si="3"/>
        <v>0</v>
      </c>
      <c r="N27" s="684">
        <f t="shared" si="3"/>
        <v>6048.2034853982996</v>
      </c>
      <c r="O27" s="684">
        <f t="shared" ca="1" si="3"/>
        <v>4548.7121837213172</v>
      </c>
      <c r="P27" s="684">
        <f t="shared" si="3"/>
        <v>59.406666666666666</v>
      </c>
      <c r="Q27" s="684">
        <f t="shared" si="3"/>
        <v>95.333333333333343</v>
      </c>
      <c r="R27" s="684">
        <f t="shared" ca="1" si="3"/>
        <v>261597.51351766576</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1575.2002017808611</v>
      </c>
      <c r="D40" s="676">
        <f ca="1">tertiair!C20</f>
        <v>0</v>
      </c>
      <c r="E40" s="676">
        <f ca="1">tertiair!D20</f>
        <v>1243.85477986</v>
      </c>
      <c r="F40" s="676">
        <f>tertiair!E20</f>
        <v>26.091184805148252</v>
      </c>
      <c r="G40" s="676">
        <f ca="1">tertiair!F20</f>
        <v>327.68563585634229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3172.8318023023517</v>
      </c>
    </row>
    <row r="41" spans="1:18">
      <c r="A41" s="804" t="s">
        <v>220</v>
      </c>
      <c r="B41" s="811"/>
      <c r="C41" s="676">
        <f ca="1">huishoudens!B12</f>
        <v>3719.4786791610486</v>
      </c>
      <c r="D41" s="676">
        <f ca="1">huishoudens!C12</f>
        <v>0</v>
      </c>
      <c r="E41" s="676">
        <f>huishoudens!D12</f>
        <v>8284.1689228747709</v>
      </c>
      <c r="F41" s="676">
        <f>huishoudens!E12</f>
        <v>126.67830297658456</v>
      </c>
      <c r="G41" s="676">
        <f>huishoudens!F12</f>
        <v>5086.0410245352732</v>
      </c>
      <c r="H41" s="676">
        <f>huishoudens!G12</f>
        <v>0</v>
      </c>
      <c r="I41" s="676">
        <f>huishoudens!H12</f>
        <v>0</v>
      </c>
      <c r="J41" s="676">
        <f>huishoudens!I12</f>
        <v>0</v>
      </c>
      <c r="K41" s="676">
        <f>huishoudens!J12</f>
        <v>151.84180243992921</v>
      </c>
      <c r="L41" s="676">
        <f>huishoudens!K12</f>
        <v>0</v>
      </c>
      <c r="M41" s="676">
        <f>huishoudens!L12</f>
        <v>0</v>
      </c>
      <c r="N41" s="676">
        <f>huishoudens!M12</f>
        <v>0</v>
      </c>
      <c r="O41" s="676">
        <f>huishoudens!N12</f>
        <v>0</v>
      </c>
      <c r="P41" s="676">
        <f>huishoudens!O12</f>
        <v>0</v>
      </c>
      <c r="Q41" s="751">
        <f>huishoudens!P12</f>
        <v>0</v>
      </c>
      <c r="R41" s="832">
        <f t="shared" ca="1" si="4"/>
        <v>17368.208731987608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327.22347226557463</v>
      </c>
      <c r="D43" s="676">
        <f ca="1">industrie!C22</f>
        <v>0</v>
      </c>
      <c r="E43" s="676">
        <f>industrie!D22</f>
        <v>604.61828323600002</v>
      </c>
      <c r="F43" s="676">
        <f>industrie!E22</f>
        <v>5.1927819850430348</v>
      </c>
      <c r="G43" s="676">
        <f>industrie!F22</f>
        <v>236.65358290374743</v>
      </c>
      <c r="H43" s="676">
        <f>industrie!G22</f>
        <v>0</v>
      </c>
      <c r="I43" s="676">
        <f>industrie!H22</f>
        <v>0</v>
      </c>
      <c r="J43" s="676">
        <f>industrie!I22</f>
        <v>0</v>
      </c>
      <c r="K43" s="676">
        <f>industrie!J22</f>
        <v>1.3451595017353346</v>
      </c>
      <c r="L43" s="676">
        <f>industrie!K22</f>
        <v>0</v>
      </c>
      <c r="M43" s="676">
        <f>industrie!L22</f>
        <v>0</v>
      </c>
      <c r="N43" s="676">
        <f>industrie!M22</f>
        <v>0</v>
      </c>
      <c r="O43" s="676">
        <f>industrie!N22</f>
        <v>0</v>
      </c>
      <c r="P43" s="676">
        <f>industrie!O22</f>
        <v>0</v>
      </c>
      <c r="Q43" s="751">
        <f>industrie!P22</f>
        <v>0</v>
      </c>
      <c r="R43" s="831">
        <f t="shared" ca="1" si="4"/>
        <v>1175.0332798921004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5621.9023532074843</v>
      </c>
      <c r="D46" s="709">
        <f t="shared" ref="D46:Q46" ca="1" si="5">SUM(D39:D45)</f>
        <v>0</v>
      </c>
      <c r="E46" s="709">
        <f t="shared" ca="1" si="5"/>
        <v>10132.641985970771</v>
      </c>
      <c r="F46" s="709">
        <f t="shared" si="5"/>
        <v>157.96226976677585</v>
      </c>
      <c r="G46" s="709">
        <f t="shared" ca="1" si="5"/>
        <v>5650.3802432953635</v>
      </c>
      <c r="H46" s="709">
        <f t="shared" si="5"/>
        <v>0</v>
      </c>
      <c r="I46" s="709">
        <f t="shared" si="5"/>
        <v>0</v>
      </c>
      <c r="J46" s="709">
        <f t="shared" si="5"/>
        <v>0</v>
      </c>
      <c r="K46" s="709">
        <f t="shared" si="5"/>
        <v>153.18696194166455</v>
      </c>
      <c r="L46" s="709">
        <f t="shared" si="5"/>
        <v>0</v>
      </c>
      <c r="M46" s="709">
        <f t="shared" ca="1" si="5"/>
        <v>0</v>
      </c>
      <c r="N46" s="709">
        <f t="shared" si="5"/>
        <v>0</v>
      </c>
      <c r="O46" s="709">
        <f t="shared" ca="1" si="5"/>
        <v>0</v>
      </c>
      <c r="P46" s="709">
        <f t="shared" si="5"/>
        <v>0</v>
      </c>
      <c r="Q46" s="709">
        <f t="shared" si="5"/>
        <v>0</v>
      </c>
      <c r="R46" s="709">
        <f ca="1">SUM(R39:R45)</f>
        <v>21716.073814182062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1.0422784427470331</v>
      </c>
      <c r="D49" s="676">
        <f ca="1">transport!C58</f>
        <v>0</v>
      </c>
      <c r="E49" s="676">
        <f>transport!D58</f>
        <v>0</v>
      </c>
      <c r="F49" s="676">
        <f>transport!E58</f>
        <v>0</v>
      </c>
      <c r="G49" s="676">
        <f>transport!F58</f>
        <v>0</v>
      </c>
      <c r="H49" s="676">
        <f>transport!G58</f>
        <v>298.55139192073722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299.59367036348425</v>
      </c>
    </row>
    <row r="50" spans="1:18">
      <c r="A50" s="807" t="s">
        <v>302</v>
      </c>
      <c r="B50" s="817"/>
      <c r="C50" s="975">
        <f ca="1">transport!B18</f>
        <v>0.33255610265249474</v>
      </c>
      <c r="D50" s="975">
        <f>transport!C18</f>
        <v>0</v>
      </c>
      <c r="E50" s="975">
        <f>transport!D18</f>
        <v>1.0351875291877268</v>
      </c>
      <c r="F50" s="975">
        <f>transport!E18</f>
        <v>136.50676179962443</v>
      </c>
      <c r="G50" s="975">
        <f>transport!F18</f>
        <v>0</v>
      </c>
      <c r="H50" s="975">
        <f>transport!G18</f>
        <v>32173.379146220002</v>
      </c>
      <c r="I50" s="975">
        <f>transport!H18</f>
        <v>4378.4260128602855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36689.67966451175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1.3748345453995279</v>
      </c>
      <c r="D52" s="709">
        <f t="shared" ref="D52:Q52" ca="1" si="6">SUM(D48:D51)</f>
        <v>0</v>
      </c>
      <c r="E52" s="709">
        <f t="shared" si="6"/>
        <v>1.0351875291877268</v>
      </c>
      <c r="F52" s="709">
        <f t="shared" si="6"/>
        <v>136.50676179962443</v>
      </c>
      <c r="G52" s="709">
        <f t="shared" si="6"/>
        <v>0</v>
      </c>
      <c r="H52" s="709">
        <f t="shared" si="6"/>
        <v>32471.930538140739</v>
      </c>
      <c r="I52" s="709">
        <f t="shared" si="6"/>
        <v>4378.4260128602855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36989.273334875237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310.42741296567948</v>
      </c>
      <c r="D54" s="975">
        <f ca="1">+landbouw!C12</f>
        <v>0</v>
      </c>
      <c r="E54" s="975">
        <f>+landbouw!D12</f>
        <v>23.395358007999999</v>
      </c>
      <c r="F54" s="975">
        <f>+landbouw!E12</f>
        <v>3.6492957559886352</v>
      </c>
      <c r="G54" s="975">
        <f>+landbouw!F12</f>
        <v>1754.5943153099183</v>
      </c>
      <c r="H54" s="975">
        <f>+landbouw!G12</f>
        <v>0</v>
      </c>
      <c r="I54" s="975">
        <f>+landbouw!H12</f>
        <v>0</v>
      </c>
      <c r="J54" s="975">
        <f>+landbouw!I12</f>
        <v>0</v>
      </c>
      <c r="K54" s="975">
        <f>+landbouw!J12</f>
        <v>48.533644255397256</v>
      </c>
      <c r="L54" s="975">
        <f>+landbouw!K12</f>
        <v>0</v>
      </c>
      <c r="M54" s="975">
        <f>+landbouw!L12</f>
        <v>0</v>
      </c>
      <c r="N54" s="975">
        <f>+landbouw!M12</f>
        <v>0</v>
      </c>
      <c r="O54" s="975">
        <f>+landbouw!N12</f>
        <v>0</v>
      </c>
      <c r="P54" s="975">
        <f>+landbouw!O12</f>
        <v>0</v>
      </c>
      <c r="Q54" s="976">
        <f>+landbouw!P12</f>
        <v>0</v>
      </c>
      <c r="R54" s="708">
        <f ca="1">SUM(C54:Q54)</f>
        <v>2140.6000262949838</v>
      </c>
    </row>
    <row r="55" spans="1:18" ht="15" thickBot="1">
      <c r="A55" s="807" t="s">
        <v>895</v>
      </c>
      <c r="B55" s="817"/>
      <c r="C55" s="975">
        <f ca="1">C25*'EF ele_warmte'!B12</f>
        <v>173.82141874767294</v>
      </c>
      <c r="D55" s="975"/>
      <c r="E55" s="975">
        <f>E25*EF_CO2_aardgas</f>
        <v>311.37552600000004</v>
      </c>
      <c r="F55" s="975"/>
      <c r="G55" s="975"/>
      <c r="H55" s="975"/>
      <c r="I55" s="975"/>
      <c r="J55" s="975"/>
      <c r="K55" s="975"/>
      <c r="L55" s="975"/>
      <c r="M55" s="975"/>
      <c r="N55" s="975"/>
      <c r="O55" s="975"/>
      <c r="P55" s="975"/>
      <c r="Q55" s="976"/>
      <c r="R55" s="708">
        <f ca="1">SUM(C55:Q55)</f>
        <v>485.196944747673</v>
      </c>
    </row>
    <row r="56" spans="1:18" ht="15.75" thickBot="1">
      <c r="A56" s="805" t="s">
        <v>896</v>
      </c>
      <c r="B56" s="818"/>
      <c r="C56" s="709">
        <f ca="1">SUM(C54:C55)</f>
        <v>484.24883171335239</v>
      </c>
      <c r="D56" s="709">
        <f t="shared" ref="D56:Q56" ca="1" si="7">SUM(D54:D55)</f>
        <v>0</v>
      </c>
      <c r="E56" s="709">
        <f t="shared" si="7"/>
        <v>334.77088400800005</v>
      </c>
      <c r="F56" s="709">
        <f t="shared" si="7"/>
        <v>3.6492957559886352</v>
      </c>
      <c r="G56" s="709">
        <f t="shared" si="7"/>
        <v>1754.5943153099183</v>
      </c>
      <c r="H56" s="709">
        <f t="shared" si="7"/>
        <v>0</v>
      </c>
      <c r="I56" s="709">
        <f t="shared" si="7"/>
        <v>0</v>
      </c>
      <c r="J56" s="709">
        <f t="shared" si="7"/>
        <v>0</v>
      </c>
      <c r="K56" s="709">
        <f t="shared" si="7"/>
        <v>48.533644255397256</v>
      </c>
      <c r="L56" s="709">
        <f t="shared" si="7"/>
        <v>0</v>
      </c>
      <c r="M56" s="709">
        <f t="shared" si="7"/>
        <v>0</v>
      </c>
      <c r="N56" s="709">
        <f t="shared" si="7"/>
        <v>0</v>
      </c>
      <c r="O56" s="709">
        <f t="shared" si="7"/>
        <v>0</v>
      </c>
      <c r="P56" s="709">
        <f t="shared" si="7"/>
        <v>0</v>
      </c>
      <c r="Q56" s="710">
        <f t="shared" si="7"/>
        <v>0</v>
      </c>
      <c r="R56" s="711">
        <f ca="1">SUM(R54:R55)</f>
        <v>2625.7969710426569</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6107.526019466236</v>
      </c>
      <c r="D61" s="717">
        <f t="shared" ref="D61:Q61" ca="1" si="8">D46+D52+D56</f>
        <v>0</v>
      </c>
      <c r="E61" s="717">
        <f t="shared" ca="1" si="8"/>
        <v>10468.448057507958</v>
      </c>
      <c r="F61" s="717">
        <f t="shared" si="8"/>
        <v>298.11832732238895</v>
      </c>
      <c r="G61" s="717">
        <f t="shared" ca="1" si="8"/>
        <v>7404.9745586052813</v>
      </c>
      <c r="H61" s="717">
        <f t="shared" si="8"/>
        <v>32471.930538140739</v>
      </c>
      <c r="I61" s="717">
        <f t="shared" si="8"/>
        <v>4378.4260128602855</v>
      </c>
      <c r="J61" s="717">
        <f t="shared" si="8"/>
        <v>0</v>
      </c>
      <c r="K61" s="717">
        <f t="shared" si="8"/>
        <v>201.72060619706181</v>
      </c>
      <c r="L61" s="717">
        <f t="shared" si="8"/>
        <v>0</v>
      </c>
      <c r="M61" s="717">
        <f t="shared" ca="1" si="8"/>
        <v>0</v>
      </c>
      <c r="N61" s="717">
        <f t="shared" si="8"/>
        <v>0</v>
      </c>
      <c r="O61" s="717">
        <f t="shared" ca="1" si="8"/>
        <v>0</v>
      </c>
      <c r="P61" s="717">
        <f t="shared" si="8"/>
        <v>0</v>
      </c>
      <c r="Q61" s="717">
        <f t="shared" si="8"/>
        <v>0</v>
      </c>
      <c r="R61" s="717">
        <f ca="1">R46+R52+R56</f>
        <v>61331.144120099954</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0.20221598001318428</v>
      </c>
      <c r="D63" s="761">
        <f t="shared" ca="1" si="9"/>
        <v>0</v>
      </c>
      <c r="E63" s="977">
        <f t="shared" ca="1" si="9"/>
        <v>0.20199999999999999</v>
      </c>
      <c r="F63" s="761">
        <f t="shared" si="9"/>
        <v>0.22700000000000004</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2567.1197108624774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2567.1197108624774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18393.59421010418</v>
      </c>
      <c r="C4" s="449">
        <f>huishoudens!C8</f>
        <v>0</v>
      </c>
      <c r="D4" s="449">
        <f>huishoudens!D8</f>
        <v>41010.73724195431</v>
      </c>
      <c r="E4" s="449">
        <f>huishoudens!E8</f>
        <v>558.05419813473372</v>
      </c>
      <c r="F4" s="449">
        <f>huishoudens!F8</f>
        <v>19048.842788521622</v>
      </c>
      <c r="G4" s="449">
        <f>huishoudens!G8</f>
        <v>0</v>
      </c>
      <c r="H4" s="449">
        <f>huishoudens!H8</f>
        <v>0</v>
      </c>
      <c r="I4" s="449">
        <f>huishoudens!I8</f>
        <v>0</v>
      </c>
      <c r="J4" s="449">
        <f>huishoudens!J8</f>
        <v>428.93164531053452</v>
      </c>
      <c r="K4" s="449">
        <f>huishoudens!K8</f>
        <v>0</v>
      </c>
      <c r="L4" s="449">
        <f>huishoudens!L8</f>
        <v>0</v>
      </c>
      <c r="M4" s="449">
        <f>huishoudens!M8</f>
        <v>0</v>
      </c>
      <c r="N4" s="449">
        <f>huishoudens!N8</f>
        <v>4296.2113479440259</v>
      </c>
      <c r="O4" s="449">
        <f>huishoudens!O8</f>
        <v>57.843333333333334</v>
      </c>
      <c r="P4" s="450">
        <f>huishoudens!P8</f>
        <v>57.2</v>
      </c>
      <c r="Q4" s="451">
        <f>SUM(B4:P4)</f>
        <v>83851.414765302732</v>
      </c>
    </row>
    <row r="5" spans="1:17">
      <c r="A5" s="448" t="s">
        <v>155</v>
      </c>
      <c r="B5" s="449">
        <f ca="1">tertiair!B16</f>
        <v>6900.4970000000003</v>
      </c>
      <c r="C5" s="449">
        <f ca="1">tertiair!C16</f>
        <v>0</v>
      </c>
      <c r="D5" s="449">
        <f ca="1">tertiair!D16</f>
        <v>6157.6969300000001</v>
      </c>
      <c r="E5" s="449">
        <f>tertiair!E16</f>
        <v>114.93914011078525</v>
      </c>
      <c r="F5" s="449">
        <f ca="1">tertiair!F16</f>
        <v>1227.2870256791846</v>
      </c>
      <c r="G5" s="449">
        <f>tertiair!G16</f>
        <v>0</v>
      </c>
      <c r="H5" s="449">
        <f>tertiair!H16</f>
        <v>0</v>
      </c>
      <c r="I5" s="449">
        <f>tertiair!I16</f>
        <v>0</v>
      </c>
      <c r="J5" s="449">
        <f>tertiair!J16</f>
        <v>0</v>
      </c>
      <c r="K5" s="449">
        <f>tertiair!K16</f>
        <v>0</v>
      </c>
      <c r="L5" s="449">
        <f ca="1">tertiair!L16</f>
        <v>0</v>
      </c>
      <c r="M5" s="449">
        <f>tertiair!M16</f>
        <v>0</v>
      </c>
      <c r="N5" s="449">
        <f ca="1">tertiair!N16</f>
        <v>169.77926778998733</v>
      </c>
      <c r="O5" s="449">
        <f>tertiair!O16</f>
        <v>1.5633333333333335</v>
      </c>
      <c r="P5" s="450">
        <f>tertiair!P16</f>
        <v>38.133333333333333</v>
      </c>
      <c r="Q5" s="448">
        <f t="shared" ref="Q5:Q14" ca="1" si="0">SUM(B5:P5)</f>
        <v>14609.896030246626</v>
      </c>
    </row>
    <row r="6" spans="1:17">
      <c r="A6" s="448" t="s">
        <v>193</v>
      </c>
      <c r="B6" s="449">
        <f>'openbare verlichting'!B8</f>
        <v>889.19500000000005</v>
      </c>
      <c r="C6" s="449"/>
      <c r="D6" s="449"/>
      <c r="E6" s="449"/>
      <c r="F6" s="449"/>
      <c r="G6" s="449"/>
      <c r="H6" s="449"/>
      <c r="I6" s="449"/>
      <c r="J6" s="449"/>
      <c r="K6" s="449"/>
      <c r="L6" s="449"/>
      <c r="M6" s="449"/>
      <c r="N6" s="449"/>
      <c r="O6" s="449"/>
      <c r="P6" s="450"/>
      <c r="Q6" s="448">
        <f t="shared" si="0"/>
        <v>889.19500000000005</v>
      </c>
    </row>
    <row r="7" spans="1:17">
      <c r="A7" s="448" t="s">
        <v>111</v>
      </c>
      <c r="B7" s="449">
        <f>landbouw!B8</f>
        <v>1535.1279999999999</v>
      </c>
      <c r="C7" s="449">
        <f>landbouw!C8</f>
        <v>0</v>
      </c>
      <c r="D7" s="449">
        <f>landbouw!D8</f>
        <v>115.81860399999999</v>
      </c>
      <c r="E7" s="449">
        <f>landbouw!E8</f>
        <v>16.076192757659186</v>
      </c>
      <c r="F7" s="449">
        <f>landbouw!F8</f>
        <v>6571.5142895502559</v>
      </c>
      <c r="G7" s="449">
        <f>landbouw!G8</f>
        <v>0</v>
      </c>
      <c r="H7" s="449">
        <f>landbouw!H8</f>
        <v>0</v>
      </c>
      <c r="I7" s="449">
        <f>landbouw!I8</f>
        <v>0</v>
      </c>
      <c r="J7" s="449">
        <f>landbouw!J8</f>
        <v>137.10068998699791</v>
      </c>
      <c r="K7" s="449">
        <f>landbouw!K8</f>
        <v>0</v>
      </c>
      <c r="L7" s="449">
        <f>landbouw!L8</f>
        <v>0</v>
      </c>
      <c r="M7" s="449">
        <f>landbouw!M8</f>
        <v>0</v>
      </c>
      <c r="N7" s="449">
        <f>landbouw!N8</f>
        <v>0</v>
      </c>
      <c r="O7" s="449">
        <f>landbouw!O8</f>
        <v>0</v>
      </c>
      <c r="P7" s="450">
        <f>landbouw!P8</f>
        <v>0</v>
      </c>
      <c r="Q7" s="448">
        <f t="shared" si="0"/>
        <v>8375.6377762949123</v>
      </c>
    </row>
    <row r="8" spans="1:17">
      <c r="A8" s="448" t="s">
        <v>643</v>
      </c>
      <c r="B8" s="449">
        <f>industrie!B18</f>
        <v>1618.1880000000001</v>
      </c>
      <c r="C8" s="449">
        <f>industrie!C18</f>
        <v>0</v>
      </c>
      <c r="D8" s="449">
        <f>industrie!D18</f>
        <v>2993.1598180000001</v>
      </c>
      <c r="E8" s="449">
        <f>industrie!E18</f>
        <v>22.87569156406623</v>
      </c>
      <c r="F8" s="449">
        <f>industrie!F18</f>
        <v>886.34300713014011</v>
      </c>
      <c r="G8" s="449">
        <f>industrie!G18</f>
        <v>0</v>
      </c>
      <c r="H8" s="449">
        <f>industrie!H18</f>
        <v>0</v>
      </c>
      <c r="I8" s="449">
        <f>industrie!I18</f>
        <v>0</v>
      </c>
      <c r="J8" s="449">
        <f>industrie!J18</f>
        <v>3.7998855981224144</v>
      </c>
      <c r="K8" s="449">
        <f>industrie!K18</f>
        <v>0</v>
      </c>
      <c r="L8" s="449">
        <f>industrie!L18</f>
        <v>0</v>
      </c>
      <c r="M8" s="449">
        <f>industrie!M18</f>
        <v>0</v>
      </c>
      <c r="N8" s="449">
        <f>industrie!N18</f>
        <v>82.721567987304624</v>
      </c>
      <c r="O8" s="449">
        <f>industrie!O18</f>
        <v>0</v>
      </c>
      <c r="P8" s="450">
        <f>industrie!P18</f>
        <v>0</v>
      </c>
      <c r="Q8" s="448">
        <f t="shared" si="0"/>
        <v>5607.0879702796328</v>
      </c>
    </row>
    <row r="9" spans="1:17" s="454" customFormat="1">
      <c r="A9" s="452" t="s">
        <v>562</v>
      </c>
      <c r="B9" s="453">
        <f>transport!B14</f>
        <v>1.6445589642856735</v>
      </c>
      <c r="C9" s="453">
        <f>transport!C14</f>
        <v>0</v>
      </c>
      <c r="D9" s="453">
        <f>transport!D14</f>
        <v>5.1246907385531024</v>
      </c>
      <c r="E9" s="453">
        <f>transport!E14</f>
        <v>601.35137356662744</v>
      </c>
      <c r="F9" s="453">
        <f>transport!F14</f>
        <v>0</v>
      </c>
      <c r="G9" s="453">
        <f>transport!G14</f>
        <v>120499.54736411985</v>
      </c>
      <c r="H9" s="453">
        <f>transport!H14</f>
        <v>17584.040212290303</v>
      </c>
      <c r="I9" s="453">
        <f>transport!I14</f>
        <v>0</v>
      </c>
      <c r="J9" s="453">
        <f>transport!J14</f>
        <v>0</v>
      </c>
      <c r="K9" s="453">
        <f>transport!K14</f>
        <v>0</v>
      </c>
      <c r="L9" s="453">
        <f>transport!L14</f>
        <v>0</v>
      </c>
      <c r="M9" s="453">
        <f>transport!M14</f>
        <v>6000.327740859715</v>
      </c>
      <c r="N9" s="453">
        <f>transport!N14</f>
        <v>0</v>
      </c>
      <c r="O9" s="453">
        <f>transport!O14</f>
        <v>0</v>
      </c>
      <c r="P9" s="453">
        <f>transport!P14</f>
        <v>0</v>
      </c>
      <c r="Q9" s="452">
        <f>SUM(B9:P9)</f>
        <v>144692.03594053932</v>
      </c>
    </row>
    <row r="10" spans="1:17">
      <c r="A10" s="448" t="s">
        <v>552</v>
      </c>
      <c r="B10" s="449">
        <f>transport!B54</f>
        <v>5.1542832701900103</v>
      </c>
      <c r="C10" s="449">
        <f>transport!C54</f>
        <v>0</v>
      </c>
      <c r="D10" s="449">
        <f>transport!D54</f>
        <v>0</v>
      </c>
      <c r="E10" s="449">
        <f>transport!E54</f>
        <v>0</v>
      </c>
      <c r="F10" s="449">
        <f>transport!F54</f>
        <v>0</v>
      </c>
      <c r="G10" s="449">
        <f>transport!G54</f>
        <v>1118.1700071937723</v>
      </c>
      <c r="H10" s="449">
        <f>transport!H54</f>
        <v>0</v>
      </c>
      <c r="I10" s="449">
        <f>transport!I54</f>
        <v>0</v>
      </c>
      <c r="J10" s="449">
        <f>transport!J54</f>
        <v>0</v>
      </c>
      <c r="K10" s="449">
        <f>transport!K54</f>
        <v>0</v>
      </c>
      <c r="L10" s="449">
        <f>transport!L54</f>
        <v>0</v>
      </c>
      <c r="M10" s="449">
        <f>transport!M54</f>
        <v>47.875744538584364</v>
      </c>
      <c r="N10" s="449">
        <f>transport!N54</f>
        <v>0</v>
      </c>
      <c r="O10" s="449">
        <f>transport!O54</f>
        <v>0</v>
      </c>
      <c r="P10" s="450">
        <f>transport!P54</f>
        <v>0</v>
      </c>
      <c r="Q10" s="448">
        <f t="shared" si="0"/>
        <v>1171.2000350025467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859.58299999999997</v>
      </c>
      <c r="C14" s="456"/>
      <c r="D14" s="456">
        <f>'SEAP template'!E25</f>
        <v>1541.463</v>
      </c>
      <c r="E14" s="456"/>
      <c r="F14" s="456"/>
      <c r="G14" s="456"/>
      <c r="H14" s="456"/>
      <c r="I14" s="456"/>
      <c r="J14" s="456"/>
      <c r="K14" s="456"/>
      <c r="L14" s="456"/>
      <c r="M14" s="456"/>
      <c r="N14" s="456"/>
      <c r="O14" s="456"/>
      <c r="P14" s="457"/>
      <c r="Q14" s="448">
        <f t="shared" si="0"/>
        <v>2401.0459999999998</v>
      </c>
    </row>
    <row r="15" spans="1:17" s="461" customFormat="1">
      <c r="A15" s="458" t="s">
        <v>556</v>
      </c>
      <c r="B15" s="459">
        <f ca="1">SUM(B4:B14)</f>
        <v>30202.984052338656</v>
      </c>
      <c r="C15" s="459">
        <f t="shared" ref="C15:Q15" ca="1" si="1">SUM(C4:C14)</f>
        <v>0</v>
      </c>
      <c r="D15" s="459">
        <f t="shared" ca="1" si="1"/>
        <v>51824.000284692862</v>
      </c>
      <c r="E15" s="459">
        <f t="shared" si="1"/>
        <v>1313.2965961338718</v>
      </c>
      <c r="F15" s="459">
        <f t="shared" ca="1" si="1"/>
        <v>27733.9871108812</v>
      </c>
      <c r="G15" s="459">
        <f t="shared" si="1"/>
        <v>121617.71737131361</v>
      </c>
      <c r="H15" s="459">
        <f t="shared" si="1"/>
        <v>17584.040212290303</v>
      </c>
      <c r="I15" s="459">
        <f t="shared" si="1"/>
        <v>0</v>
      </c>
      <c r="J15" s="459">
        <f t="shared" si="1"/>
        <v>569.83222089565481</v>
      </c>
      <c r="K15" s="459">
        <f t="shared" si="1"/>
        <v>0</v>
      </c>
      <c r="L15" s="459">
        <f t="shared" ca="1" si="1"/>
        <v>0</v>
      </c>
      <c r="M15" s="459">
        <f t="shared" si="1"/>
        <v>6048.2034853982996</v>
      </c>
      <c r="N15" s="459">
        <f t="shared" ca="1" si="1"/>
        <v>4548.7121837213172</v>
      </c>
      <c r="O15" s="459">
        <f t="shared" si="1"/>
        <v>59.406666666666666</v>
      </c>
      <c r="P15" s="459">
        <f t="shared" si="1"/>
        <v>95.333333333333343</v>
      </c>
      <c r="Q15" s="459">
        <f t="shared" ca="1" si="1"/>
        <v>261597.51351766579</v>
      </c>
    </row>
    <row r="17" spans="1:17">
      <c r="A17" s="462" t="s">
        <v>557</v>
      </c>
      <c r="B17" s="766">
        <f ca="1">huishoudens!B10</f>
        <v>0.20221598001318425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3719.4786791610486</v>
      </c>
      <c r="C22" s="449">
        <f t="shared" ref="C22:C32" ca="1" si="3">C4*$C$17</f>
        <v>0</v>
      </c>
      <c r="D22" s="449">
        <f t="shared" ref="D22:D32" si="4">D4*$D$17</f>
        <v>8284.1689228747709</v>
      </c>
      <c r="E22" s="449">
        <f t="shared" ref="E22:E32" si="5">E4*$E$17</f>
        <v>126.67830297658456</v>
      </c>
      <c r="F22" s="449">
        <f t="shared" ref="F22:F32" si="6">F4*$F$17</f>
        <v>5086.0410245352732</v>
      </c>
      <c r="G22" s="449">
        <f t="shared" ref="G22:G32" si="7">G4*$G$17</f>
        <v>0</v>
      </c>
      <c r="H22" s="449">
        <f t="shared" ref="H22:H32" si="8">H4*$H$17</f>
        <v>0</v>
      </c>
      <c r="I22" s="449">
        <f t="shared" ref="I22:I32" si="9">I4*$I$17</f>
        <v>0</v>
      </c>
      <c r="J22" s="449">
        <f t="shared" ref="J22:J32" si="10">J4*$J$17</f>
        <v>151.84180243992921</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17368.208731987608</v>
      </c>
    </row>
    <row r="23" spans="1:17">
      <c r="A23" s="448" t="s">
        <v>155</v>
      </c>
      <c r="B23" s="449">
        <f t="shared" ca="1" si="2"/>
        <v>1395.3907634330378</v>
      </c>
      <c r="C23" s="449">
        <f t="shared" ca="1" si="3"/>
        <v>0</v>
      </c>
      <c r="D23" s="449">
        <f t="shared" ca="1" si="4"/>
        <v>1243.85477986</v>
      </c>
      <c r="E23" s="449">
        <f t="shared" si="5"/>
        <v>26.091184805148252</v>
      </c>
      <c r="F23" s="449">
        <f t="shared" ca="1" si="6"/>
        <v>327.68563585634229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2993.0223639545284</v>
      </c>
    </row>
    <row r="24" spans="1:17">
      <c r="A24" s="448" t="s">
        <v>193</v>
      </c>
      <c r="B24" s="449">
        <f t="shared" ca="1" si="2"/>
        <v>179.80943834782337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179.80943834782337</v>
      </c>
    </row>
    <row r="25" spans="1:17">
      <c r="A25" s="448" t="s">
        <v>111</v>
      </c>
      <c r="B25" s="449">
        <f t="shared" ca="1" si="2"/>
        <v>310.42741296567948</v>
      </c>
      <c r="C25" s="449">
        <f t="shared" ca="1" si="3"/>
        <v>0</v>
      </c>
      <c r="D25" s="449">
        <f t="shared" si="4"/>
        <v>23.395358007999999</v>
      </c>
      <c r="E25" s="449">
        <f t="shared" si="5"/>
        <v>3.6492957559886352</v>
      </c>
      <c r="F25" s="449">
        <f t="shared" si="6"/>
        <v>1754.5943153099183</v>
      </c>
      <c r="G25" s="449">
        <f t="shared" si="7"/>
        <v>0</v>
      </c>
      <c r="H25" s="449">
        <f t="shared" si="8"/>
        <v>0</v>
      </c>
      <c r="I25" s="449">
        <f t="shared" si="9"/>
        <v>0</v>
      </c>
      <c r="J25" s="449">
        <f t="shared" si="10"/>
        <v>48.533644255397256</v>
      </c>
      <c r="K25" s="449">
        <f t="shared" si="11"/>
        <v>0</v>
      </c>
      <c r="L25" s="449">
        <f t="shared" si="12"/>
        <v>0</v>
      </c>
      <c r="M25" s="449">
        <f t="shared" si="13"/>
        <v>0</v>
      </c>
      <c r="N25" s="449">
        <f t="shared" si="14"/>
        <v>0</v>
      </c>
      <c r="O25" s="449">
        <f t="shared" si="15"/>
        <v>0</v>
      </c>
      <c r="P25" s="450">
        <f t="shared" si="16"/>
        <v>0</v>
      </c>
      <c r="Q25" s="448">
        <f t="shared" ca="1" si="17"/>
        <v>2140.6000262949838</v>
      </c>
    </row>
    <row r="26" spans="1:17">
      <c r="A26" s="448" t="s">
        <v>643</v>
      </c>
      <c r="B26" s="449">
        <f t="shared" ca="1" si="2"/>
        <v>327.22347226557463</v>
      </c>
      <c r="C26" s="449">
        <f t="shared" ca="1" si="3"/>
        <v>0</v>
      </c>
      <c r="D26" s="449">
        <f t="shared" si="4"/>
        <v>604.61828323600002</v>
      </c>
      <c r="E26" s="449">
        <f t="shared" si="5"/>
        <v>5.1927819850430348</v>
      </c>
      <c r="F26" s="449">
        <f t="shared" si="6"/>
        <v>236.65358290374743</v>
      </c>
      <c r="G26" s="449">
        <f t="shared" si="7"/>
        <v>0</v>
      </c>
      <c r="H26" s="449">
        <f t="shared" si="8"/>
        <v>0</v>
      </c>
      <c r="I26" s="449">
        <f t="shared" si="9"/>
        <v>0</v>
      </c>
      <c r="J26" s="449">
        <f t="shared" si="10"/>
        <v>1.3451595017353346</v>
      </c>
      <c r="K26" s="449">
        <f t="shared" si="11"/>
        <v>0</v>
      </c>
      <c r="L26" s="449">
        <f t="shared" si="12"/>
        <v>0</v>
      </c>
      <c r="M26" s="449">
        <f t="shared" si="13"/>
        <v>0</v>
      </c>
      <c r="N26" s="449">
        <f t="shared" si="14"/>
        <v>0</v>
      </c>
      <c r="O26" s="449">
        <f t="shared" si="15"/>
        <v>0</v>
      </c>
      <c r="P26" s="450">
        <f t="shared" si="16"/>
        <v>0</v>
      </c>
      <c r="Q26" s="448">
        <f t="shared" ca="1" si="17"/>
        <v>1175.0332798921004</v>
      </c>
    </row>
    <row r="27" spans="1:17" s="454" customFormat="1">
      <c r="A27" s="452" t="s">
        <v>562</v>
      </c>
      <c r="B27" s="760">
        <f t="shared" ca="1" si="2"/>
        <v>0.33255610265249474</v>
      </c>
      <c r="C27" s="453">
        <f t="shared" ca="1" si="3"/>
        <v>0</v>
      </c>
      <c r="D27" s="453">
        <f t="shared" si="4"/>
        <v>1.0351875291877268</v>
      </c>
      <c r="E27" s="453">
        <f t="shared" si="5"/>
        <v>136.50676179962443</v>
      </c>
      <c r="F27" s="453">
        <f t="shared" si="6"/>
        <v>0</v>
      </c>
      <c r="G27" s="453">
        <f t="shared" si="7"/>
        <v>32173.379146220002</v>
      </c>
      <c r="H27" s="453">
        <f t="shared" si="8"/>
        <v>4378.4260128602855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36689.67966451175</v>
      </c>
    </row>
    <row r="28" spans="1:17">
      <c r="A28" s="448" t="s">
        <v>552</v>
      </c>
      <c r="B28" s="449">
        <f t="shared" ca="1" si="2"/>
        <v>1.0422784427470331</v>
      </c>
      <c r="C28" s="449">
        <f t="shared" ca="1" si="3"/>
        <v>0</v>
      </c>
      <c r="D28" s="449">
        <f t="shared" si="4"/>
        <v>0</v>
      </c>
      <c r="E28" s="449">
        <f t="shared" si="5"/>
        <v>0</v>
      </c>
      <c r="F28" s="449">
        <f t="shared" si="6"/>
        <v>0</v>
      </c>
      <c r="G28" s="449">
        <f t="shared" si="7"/>
        <v>298.55139192073722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299.59367036348425</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173.82141874767294</v>
      </c>
      <c r="C32" s="449">
        <f t="shared" ca="1" si="3"/>
        <v>0</v>
      </c>
      <c r="D32" s="449">
        <f t="shared" si="4"/>
        <v>311.37552600000004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485.196944747673</v>
      </c>
    </row>
    <row r="33" spans="1:17" s="461" customFormat="1">
      <c r="A33" s="458" t="s">
        <v>556</v>
      </c>
      <c r="B33" s="459">
        <f ca="1">SUM(B22:B32)</f>
        <v>6107.5260194662378</v>
      </c>
      <c r="C33" s="459">
        <f t="shared" ref="C33:Q33" ca="1" si="19">SUM(C22:C32)</f>
        <v>0</v>
      </c>
      <c r="D33" s="459">
        <f t="shared" ca="1" si="19"/>
        <v>10468.448057507956</v>
      </c>
      <c r="E33" s="459">
        <f t="shared" si="19"/>
        <v>298.11832732238895</v>
      </c>
      <c r="F33" s="459">
        <f t="shared" ca="1" si="19"/>
        <v>7404.9745586052813</v>
      </c>
      <c r="G33" s="459">
        <f t="shared" si="19"/>
        <v>32471.930538140739</v>
      </c>
      <c r="H33" s="459">
        <f t="shared" si="19"/>
        <v>4378.4260128602855</v>
      </c>
      <c r="I33" s="459">
        <f t="shared" si="19"/>
        <v>0</v>
      </c>
      <c r="J33" s="459">
        <f t="shared" si="19"/>
        <v>201.72060619706181</v>
      </c>
      <c r="K33" s="459">
        <f t="shared" si="19"/>
        <v>0</v>
      </c>
      <c r="L33" s="459">
        <f t="shared" ca="1" si="19"/>
        <v>0</v>
      </c>
      <c r="M33" s="459">
        <f t="shared" si="19"/>
        <v>0</v>
      </c>
      <c r="N33" s="459">
        <f t="shared" ca="1" si="19"/>
        <v>0</v>
      </c>
      <c r="O33" s="459">
        <f t="shared" si="19"/>
        <v>0</v>
      </c>
      <c r="P33" s="459">
        <f t="shared" si="19"/>
        <v>0</v>
      </c>
      <c r="Q33" s="459">
        <f t="shared" ca="1" si="19"/>
        <v>61331.144120099954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2567.1197108624774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2567.1197108624774</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0.20221598001318425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0.20221598001318425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0.20221598001318425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0.20221598001318425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3670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2493</v>
      </c>
      <c r="C14" s="326"/>
      <c r="D14" s="326"/>
      <c r="E14" s="326"/>
      <c r="F14" s="326"/>
    </row>
    <row r="15" spans="1:6">
      <c r="A15" s="1282" t="s">
        <v>183</v>
      </c>
      <c r="B15" s="1283">
        <v>20</v>
      </c>
      <c r="C15" s="326"/>
      <c r="D15" s="326"/>
      <c r="E15" s="326"/>
      <c r="F15" s="326"/>
    </row>
    <row r="16" spans="1:6">
      <c r="A16" s="1282" t="s">
        <v>6</v>
      </c>
      <c r="B16" s="1283">
        <v>745</v>
      </c>
      <c r="C16" s="326"/>
      <c r="D16" s="326"/>
      <c r="E16" s="326"/>
      <c r="F16" s="326"/>
    </row>
    <row r="17" spans="1:6">
      <c r="A17" s="1282" t="s">
        <v>7</v>
      </c>
      <c r="B17" s="1283">
        <v>753</v>
      </c>
      <c r="C17" s="326"/>
      <c r="D17" s="326"/>
      <c r="E17" s="326"/>
      <c r="F17" s="326"/>
    </row>
    <row r="18" spans="1:6">
      <c r="A18" s="1282" t="s">
        <v>8</v>
      </c>
      <c r="B18" s="1283">
        <v>968</v>
      </c>
      <c r="C18" s="326"/>
      <c r="D18" s="326"/>
      <c r="E18" s="326"/>
      <c r="F18" s="326"/>
    </row>
    <row r="19" spans="1:6">
      <c r="A19" s="1282" t="s">
        <v>9</v>
      </c>
      <c r="B19" s="1283">
        <v>833</v>
      </c>
      <c r="C19" s="326"/>
      <c r="D19" s="326"/>
      <c r="E19" s="326"/>
      <c r="F19" s="326"/>
    </row>
    <row r="20" spans="1:6">
      <c r="A20" s="1282" t="s">
        <v>10</v>
      </c>
      <c r="B20" s="1283">
        <v>679</v>
      </c>
      <c r="C20" s="326"/>
      <c r="D20" s="326"/>
      <c r="E20" s="326"/>
      <c r="F20" s="326"/>
    </row>
    <row r="21" spans="1:6">
      <c r="A21" s="1282" t="s">
        <v>11</v>
      </c>
      <c r="B21" s="1283">
        <v>6939</v>
      </c>
      <c r="C21" s="326"/>
      <c r="D21" s="326"/>
      <c r="E21" s="326"/>
      <c r="F21" s="326"/>
    </row>
    <row r="22" spans="1:6">
      <c r="A22" s="1282" t="s">
        <v>12</v>
      </c>
      <c r="B22" s="1283">
        <v>12119</v>
      </c>
      <c r="C22" s="326"/>
      <c r="D22" s="326"/>
      <c r="E22" s="326"/>
      <c r="F22" s="326"/>
    </row>
    <row r="23" spans="1:6">
      <c r="A23" s="1282" t="s">
        <v>13</v>
      </c>
      <c r="B23" s="1283">
        <v>288</v>
      </c>
      <c r="C23" s="326"/>
      <c r="D23" s="326"/>
      <c r="E23" s="326"/>
      <c r="F23" s="326"/>
    </row>
    <row r="24" spans="1:6">
      <c r="A24" s="1282" t="s">
        <v>14</v>
      </c>
      <c r="B24" s="1283">
        <v>124</v>
      </c>
      <c r="C24" s="326"/>
      <c r="D24" s="326"/>
      <c r="E24" s="326"/>
      <c r="F24" s="326"/>
    </row>
    <row r="25" spans="1:6">
      <c r="A25" s="1282" t="s">
        <v>15</v>
      </c>
      <c r="B25" s="1283">
        <v>1540</v>
      </c>
      <c r="C25" s="326"/>
      <c r="D25" s="326"/>
      <c r="E25" s="326"/>
      <c r="F25" s="326"/>
    </row>
    <row r="26" spans="1:6">
      <c r="A26" s="1282" t="s">
        <v>16</v>
      </c>
      <c r="B26" s="1283">
        <v>404</v>
      </c>
      <c r="C26" s="326"/>
      <c r="D26" s="326"/>
      <c r="E26" s="326"/>
      <c r="F26" s="326"/>
    </row>
    <row r="27" spans="1:6">
      <c r="A27" s="1282" t="s">
        <v>17</v>
      </c>
      <c r="B27" s="1283">
        <v>1276</v>
      </c>
      <c r="C27" s="326"/>
      <c r="D27" s="326"/>
      <c r="E27" s="326"/>
      <c r="F27" s="326"/>
    </row>
    <row r="28" spans="1:6" s="43" customFormat="1">
      <c r="A28" s="1284" t="s">
        <v>18</v>
      </c>
      <c r="B28" s="1285">
        <v>63437</v>
      </c>
      <c r="C28" s="332"/>
      <c r="D28" s="332"/>
      <c r="E28" s="332"/>
      <c r="F28" s="332"/>
    </row>
    <row r="29" spans="1:6">
      <c r="A29" s="1284" t="s">
        <v>978</v>
      </c>
      <c r="B29" s="1285">
        <v>68</v>
      </c>
      <c r="C29" s="332"/>
      <c r="D29" s="332"/>
      <c r="E29" s="332"/>
      <c r="F29" s="332"/>
    </row>
    <row r="30" spans="1:6">
      <c r="A30" s="1277" t="s">
        <v>979</v>
      </c>
      <c r="B30" s="1286">
        <v>6</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4</v>
      </c>
      <c r="F36" s="1283">
        <v>13566</v>
      </c>
    </row>
    <row r="37" spans="1:6">
      <c r="A37" s="1282" t="s">
        <v>24</v>
      </c>
      <c r="B37" s="1282" t="s">
        <v>27</v>
      </c>
      <c r="C37" s="1283">
        <v>0</v>
      </c>
      <c r="D37" s="1283">
        <v>0</v>
      </c>
      <c r="E37" s="1283">
        <v>0</v>
      </c>
      <c r="F37" s="1283">
        <v>0</v>
      </c>
    </row>
    <row r="38" spans="1:6">
      <c r="A38" s="1282" t="s">
        <v>24</v>
      </c>
      <c r="B38" s="1282" t="s">
        <v>28</v>
      </c>
      <c r="C38" s="1283">
        <v>1</v>
      </c>
      <c r="D38" s="1283">
        <v>9667</v>
      </c>
      <c r="E38" s="1283">
        <v>0</v>
      </c>
      <c r="F38" s="1283">
        <v>0</v>
      </c>
    </row>
    <row r="39" spans="1:6">
      <c r="A39" s="1282" t="s">
        <v>29</v>
      </c>
      <c r="B39" s="1282" t="s">
        <v>30</v>
      </c>
      <c r="C39" s="1283">
        <v>2643</v>
      </c>
      <c r="D39" s="1283">
        <v>45466449.270459324</v>
      </c>
      <c r="E39" s="1283">
        <v>3665</v>
      </c>
      <c r="F39" s="1283">
        <v>17439867</v>
      </c>
    </row>
    <row r="40" spans="1:6">
      <c r="A40" s="1282" t="s">
        <v>29</v>
      </c>
      <c r="B40" s="1282" t="s">
        <v>28</v>
      </c>
      <c r="C40" s="1283">
        <v>0</v>
      </c>
      <c r="D40" s="1283">
        <v>0</v>
      </c>
      <c r="E40" s="1283">
        <v>0</v>
      </c>
      <c r="F40" s="1283">
        <v>0</v>
      </c>
    </row>
    <row r="41" spans="1:6">
      <c r="A41" s="1282" t="s">
        <v>31</v>
      </c>
      <c r="B41" s="1282" t="s">
        <v>32</v>
      </c>
      <c r="C41" s="1283">
        <v>30</v>
      </c>
      <c r="D41" s="1283">
        <v>857706</v>
      </c>
      <c r="E41" s="1283">
        <v>90</v>
      </c>
      <c r="F41" s="1283">
        <v>1007292</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5</v>
      </c>
      <c r="D44" s="1283">
        <v>121998</v>
      </c>
      <c r="E44" s="1283">
        <v>7</v>
      </c>
      <c r="F44" s="1283">
        <v>67777</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3</v>
      </c>
      <c r="D47" s="1283">
        <v>92730</v>
      </c>
      <c r="E47" s="1283">
        <v>4</v>
      </c>
      <c r="F47" s="1283">
        <v>24587</v>
      </c>
    </row>
    <row r="48" spans="1:6">
      <c r="A48" s="1282" t="s">
        <v>31</v>
      </c>
      <c r="B48" s="1282" t="s">
        <v>28</v>
      </c>
      <c r="C48" s="1283">
        <v>2</v>
      </c>
      <c r="D48" s="1283">
        <v>1796207</v>
      </c>
      <c r="E48" s="1283">
        <v>2</v>
      </c>
      <c r="F48" s="1283">
        <v>66928</v>
      </c>
    </row>
    <row r="49" spans="1:6">
      <c r="A49" s="1282" t="s">
        <v>31</v>
      </c>
      <c r="B49" s="1282" t="s">
        <v>39</v>
      </c>
      <c r="C49" s="1283">
        <v>0</v>
      </c>
      <c r="D49" s="1283">
        <v>0</v>
      </c>
      <c r="E49" s="1283">
        <v>0</v>
      </c>
      <c r="F49" s="1283">
        <v>0</v>
      </c>
    </row>
    <row r="50" spans="1:6">
      <c r="A50" s="1282" t="s">
        <v>31</v>
      </c>
      <c r="B50" s="1282" t="s">
        <v>40</v>
      </c>
      <c r="C50" s="1283">
        <v>7</v>
      </c>
      <c r="D50" s="1283">
        <v>449718</v>
      </c>
      <c r="E50" s="1283">
        <v>13</v>
      </c>
      <c r="F50" s="1283">
        <v>451604</v>
      </c>
    </row>
    <row r="51" spans="1:6">
      <c r="A51" s="1282" t="s">
        <v>41</v>
      </c>
      <c r="B51" s="1282" t="s">
        <v>42</v>
      </c>
      <c r="C51" s="1283">
        <v>4</v>
      </c>
      <c r="D51" s="1283">
        <v>128402</v>
      </c>
      <c r="E51" s="1283">
        <v>79</v>
      </c>
      <c r="F51" s="1283">
        <v>1535128</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41</v>
      </c>
      <c r="F54" s="1283">
        <v>889195</v>
      </c>
    </row>
    <row r="55" spans="1:6">
      <c r="A55" s="1282" t="s">
        <v>45</v>
      </c>
      <c r="B55" s="1282" t="s">
        <v>28</v>
      </c>
      <c r="C55" s="1283">
        <v>0</v>
      </c>
      <c r="D55" s="1283">
        <v>0</v>
      </c>
      <c r="E55" s="1283">
        <v>0</v>
      </c>
      <c r="F55" s="1283">
        <v>0</v>
      </c>
    </row>
    <row r="56" spans="1:6">
      <c r="A56" s="1282" t="s">
        <v>47</v>
      </c>
      <c r="B56" s="1282" t="s">
        <v>28</v>
      </c>
      <c r="C56" s="1283">
        <v>15</v>
      </c>
      <c r="D56" s="1283">
        <v>1541463</v>
      </c>
      <c r="E56" s="1283">
        <v>85</v>
      </c>
      <c r="F56" s="1283">
        <v>859583</v>
      </c>
    </row>
    <row r="57" spans="1:6">
      <c r="A57" s="1282" t="s">
        <v>48</v>
      </c>
      <c r="B57" s="1282" t="s">
        <v>49</v>
      </c>
      <c r="C57" s="1283">
        <v>20</v>
      </c>
      <c r="D57" s="1283">
        <v>974891</v>
      </c>
      <c r="E57" s="1283">
        <v>48</v>
      </c>
      <c r="F57" s="1283">
        <v>664642</v>
      </c>
    </row>
    <row r="58" spans="1:6">
      <c r="A58" s="1282" t="s">
        <v>48</v>
      </c>
      <c r="B58" s="1282" t="s">
        <v>50</v>
      </c>
      <c r="C58" s="1283">
        <v>15</v>
      </c>
      <c r="D58" s="1283">
        <v>455987</v>
      </c>
      <c r="E58" s="1283">
        <v>21</v>
      </c>
      <c r="F58" s="1283">
        <v>226900</v>
      </c>
    </row>
    <row r="59" spans="1:6">
      <c r="A59" s="1282" t="s">
        <v>48</v>
      </c>
      <c r="B59" s="1282" t="s">
        <v>51</v>
      </c>
      <c r="C59" s="1283">
        <v>60</v>
      </c>
      <c r="D59" s="1283">
        <v>2862443</v>
      </c>
      <c r="E59" s="1283">
        <v>116</v>
      </c>
      <c r="F59" s="1283">
        <v>3653481</v>
      </c>
    </row>
    <row r="60" spans="1:6">
      <c r="A60" s="1282" t="s">
        <v>48</v>
      </c>
      <c r="B60" s="1282" t="s">
        <v>52</v>
      </c>
      <c r="C60" s="1283">
        <v>21</v>
      </c>
      <c r="D60" s="1283">
        <v>1218284</v>
      </c>
      <c r="E60" s="1283">
        <v>27</v>
      </c>
      <c r="F60" s="1283">
        <v>617734</v>
      </c>
    </row>
    <row r="61" spans="1:6">
      <c r="A61" s="1282" t="s">
        <v>48</v>
      </c>
      <c r="B61" s="1282" t="s">
        <v>53</v>
      </c>
      <c r="C61" s="1283">
        <v>26</v>
      </c>
      <c r="D61" s="1283">
        <v>639637</v>
      </c>
      <c r="E61" s="1283">
        <v>116</v>
      </c>
      <c r="F61" s="1283">
        <v>1631457</v>
      </c>
    </row>
    <row r="62" spans="1:6">
      <c r="A62" s="1282" t="s">
        <v>48</v>
      </c>
      <c r="B62" s="1282" t="s">
        <v>54</v>
      </c>
      <c r="C62" s="1283">
        <v>4</v>
      </c>
      <c r="D62" s="1283">
        <v>675473</v>
      </c>
      <c r="E62" s="1283">
        <v>7</v>
      </c>
      <c r="F62" s="1283">
        <v>106283</v>
      </c>
    </row>
    <row r="63" spans="1:6">
      <c r="A63" s="1282" t="s">
        <v>48</v>
      </c>
      <c r="B63" s="1282" t="s">
        <v>28</v>
      </c>
      <c r="C63" s="1283">
        <v>0</v>
      </c>
      <c r="D63" s="1283">
        <v>0</v>
      </c>
      <c r="E63" s="1283">
        <v>0</v>
      </c>
      <c r="F63" s="1283">
        <v>0</v>
      </c>
    </row>
    <row r="64" spans="1:6">
      <c r="A64" s="1282" t="s">
        <v>55</v>
      </c>
      <c r="B64" s="1282" t="s">
        <v>56</v>
      </c>
      <c r="C64" s="1283">
        <v>0</v>
      </c>
      <c r="D64" s="1283">
        <v>0</v>
      </c>
      <c r="E64" s="1283">
        <v>0</v>
      </c>
      <c r="F64" s="1283">
        <v>0</v>
      </c>
    </row>
    <row r="65" spans="1:6">
      <c r="A65" s="1282" t="s">
        <v>55</v>
      </c>
      <c r="B65" s="1282" t="s">
        <v>28</v>
      </c>
      <c r="C65" s="1283">
        <v>1</v>
      </c>
      <c r="D65" s="1283">
        <v>26640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5</v>
      </c>
      <c r="F68" s="1286">
        <v>95150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43909765</v>
      </c>
      <c r="E73" s="447"/>
      <c r="F73" s="326"/>
    </row>
    <row r="74" spans="1:6">
      <c r="A74" s="1282" t="s">
        <v>63</v>
      </c>
      <c r="B74" s="1282" t="s">
        <v>760</v>
      </c>
      <c r="C74" s="1296" t="s">
        <v>761</v>
      </c>
      <c r="D74" s="1297">
        <v>3164007.9180306052</v>
      </c>
      <c r="E74" s="447"/>
      <c r="F74" s="326"/>
    </row>
    <row r="75" spans="1:6">
      <c r="A75" s="1282" t="s">
        <v>64</v>
      </c>
      <c r="B75" s="1282" t="s">
        <v>758</v>
      </c>
      <c r="C75" s="1296" t="s">
        <v>762</v>
      </c>
      <c r="D75" s="1297">
        <v>11735815</v>
      </c>
      <c r="E75" s="447"/>
      <c r="F75" s="326"/>
    </row>
    <row r="76" spans="1:6">
      <c r="A76" s="1282" t="s">
        <v>64</v>
      </c>
      <c r="B76" s="1282" t="s">
        <v>760</v>
      </c>
      <c r="C76" s="1296" t="s">
        <v>763</v>
      </c>
      <c r="D76" s="1297">
        <v>582441.9180306053</v>
      </c>
      <c r="E76" s="447"/>
      <c r="F76" s="326"/>
    </row>
    <row r="77" spans="1:6">
      <c r="A77" s="1282" t="s">
        <v>65</v>
      </c>
      <c r="B77" s="1282" t="s">
        <v>758</v>
      </c>
      <c r="C77" s="1296" t="s">
        <v>764</v>
      </c>
      <c r="D77" s="1297">
        <v>90773921</v>
      </c>
      <c r="E77" s="447"/>
      <c r="F77" s="326"/>
    </row>
    <row r="78" spans="1:6">
      <c r="A78" s="1277" t="s">
        <v>65</v>
      </c>
      <c r="B78" s="1277" t="s">
        <v>760</v>
      </c>
      <c r="C78" s="1277" t="s">
        <v>765</v>
      </c>
      <c r="D78" s="1298">
        <v>13384691</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306682.16393878945</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953.72721010418127</v>
      </c>
      <c r="C91" s="326"/>
      <c r="D91" s="326"/>
      <c r="E91" s="326"/>
      <c r="F91" s="326"/>
    </row>
    <row r="92" spans="1:6">
      <c r="A92" s="1277" t="s">
        <v>68</v>
      </c>
      <c r="B92" s="1278">
        <v>1613.3925007582959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1911</v>
      </c>
      <c r="C97" s="326"/>
      <c r="D97" s="326"/>
      <c r="E97" s="326"/>
      <c r="F97" s="326"/>
    </row>
    <row r="98" spans="1:6">
      <c r="A98" s="1282" t="s">
        <v>71</v>
      </c>
      <c r="B98" s="1283">
        <v>1</v>
      </c>
      <c r="C98" s="326"/>
      <c r="D98" s="326"/>
      <c r="E98" s="326"/>
      <c r="F98" s="326"/>
    </row>
    <row r="99" spans="1:6">
      <c r="A99" s="1282" t="s">
        <v>72</v>
      </c>
      <c r="B99" s="1283">
        <v>56</v>
      </c>
      <c r="C99" s="326"/>
      <c r="D99" s="326"/>
      <c r="E99" s="326"/>
      <c r="F99" s="326"/>
    </row>
    <row r="100" spans="1:6">
      <c r="A100" s="1282" t="s">
        <v>73</v>
      </c>
      <c r="B100" s="1283">
        <v>349</v>
      </c>
      <c r="C100" s="326"/>
      <c r="D100" s="326"/>
      <c r="E100" s="326"/>
      <c r="F100" s="326"/>
    </row>
    <row r="101" spans="1:6">
      <c r="A101" s="1282" t="s">
        <v>74</v>
      </c>
      <c r="B101" s="1283">
        <v>78</v>
      </c>
      <c r="C101" s="326"/>
      <c r="D101" s="326"/>
      <c r="E101" s="326"/>
      <c r="F101" s="326"/>
    </row>
    <row r="102" spans="1:6">
      <c r="A102" s="1282" t="s">
        <v>75</v>
      </c>
      <c r="B102" s="1283">
        <v>71</v>
      </c>
      <c r="C102" s="326"/>
      <c r="D102" s="326"/>
      <c r="E102" s="326"/>
      <c r="F102" s="326"/>
    </row>
    <row r="103" spans="1:6">
      <c r="A103" s="1282" t="s">
        <v>76</v>
      </c>
      <c r="B103" s="1283">
        <v>104</v>
      </c>
      <c r="C103" s="326"/>
      <c r="D103" s="326"/>
      <c r="E103" s="326"/>
      <c r="F103" s="326"/>
    </row>
    <row r="104" spans="1:6">
      <c r="A104" s="1282" t="s">
        <v>77</v>
      </c>
      <c r="B104" s="1283">
        <v>807</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3</v>
      </c>
      <c r="C123" s="1283">
        <v>22</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15</v>
      </c>
      <c r="C129" s="326"/>
      <c r="D129" s="326"/>
      <c r="E129" s="326"/>
      <c r="F129" s="326"/>
    </row>
    <row r="130" spans="1:6">
      <c r="A130" s="1282" t="s">
        <v>290</v>
      </c>
      <c r="B130" s="1283">
        <v>1</v>
      </c>
      <c r="C130" s="326"/>
      <c r="D130" s="326"/>
      <c r="E130" s="326"/>
      <c r="F130" s="326"/>
    </row>
    <row r="131" spans="1:6">
      <c r="A131" s="1282" t="s">
        <v>291</v>
      </c>
      <c r="B131" s="1283">
        <v>2</v>
      </c>
      <c r="C131" s="326"/>
      <c r="D131" s="326"/>
      <c r="E131" s="326"/>
      <c r="F131" s="326"/>
    </row>
    <row r="132" spans="1:6">
      <c r="A132" s="1277" t="s">
        <v>292</v>
      </c>
      <c r="B132" s="1278">
        <v>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30202.984052338652</v>
      </c>
      <c r="C3" s="43" t="s">
        <v>169</v>
      </c>
      <c r="D3" s="43"/>
      <c r="E3" s="156"/>
      <c r="F3" s="43"/>
      <c r="G3" s="43"/>
      <c r="H3" s="43"/>
      <c r="I3" s="43"/>
      <c r="J3" s="43"/>
      <c r="K3" s="96"/>
    </row>
    <row r="4" spans="1:11">
      <c r="A4" s="354" t="s">
        <v>170</v>
      </c>
      <c r="B4" s="49">
        <f>IF(ISERROR('SEAP template'!B78+'SEAP template'!C78),0,'SEAP template'!B78+'SEAP template'!C78)</f>
        <v>2567.1197108624774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0.20221598001318425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889.19500000000005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889.19500000000005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0.20221598001318425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179.80943834782337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17439.866999999998</v>
      </c>
      <c r="C5" s="17">
        <f>IF(ISERROR('Eigen informatie GS &amp; warmtenet'!B57),0,'Eigen informatie GS &amp; warmtenet'!B57)</f>
        <v>0</v>
      </c>
      <c r="D5" s="30">
        <f>(SUM(HH_hh_gas_kWh,HH_rest_gas_kWh)/1000)*0.902</f>
        <v>41010.73724195431</v>
      </c>
      <c r="E5" s="17">
        <f>B32*B41</f>
        <v>558.05419813473372</v>
      </c>
      <c r="F5" s="17">
        <f>B36*B45</f>
        <v>19048.842788521622</v>
      </c>
      <c r="G5" s="18"/>
      <c r="H5" s="17"/>
      <c r="I5" s="17"/>
      <c r="J5" s="17">
        <f>B35*B44+C35*C44</f>
        <v>428.93164531053452</v>
      </c>
      <c r="K5" s="17"/>
      <c r="L5" s="17"/>
      <c r="M5" s="17"/>
      <c r="N5" s="17">
        <f>B34*B43+C34*C43</f>
        <v>4296.2113479440259</v>
      </c>
      <c r="O5" s="17">
        <f>B52*B53*B54</f>
        <v>57.843333333333334</v>
      </c>
      <c r="P5" s="17">
        <f>B60*B61*B62/1000-B60*B61*B62/1000/B63</f>
        <v>57.2</v>
      </c>
    </row>
    <row r="6" spans="1:16">
      <c r="A6" s="16" t="s">
        <v>621</v>
      </c>
      <c r="B6" s="768">
        <f>kWh_PV_kleiner_dan_10kW</f>
        <v>953.72721010418127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18393.59421010418</v>
      </c>
      <c r="C8" s="21">
        <f>C5</f>
        <v>0</v>
      </c>
      <c r="D8" s="21">
        <f>D5</f>
        <v>41010.73724195431</v>
      </c>
      <c r="E8" s="21">
        <f>E5</f>
        <v>558.05419813473372</v>
      </c>
      <c r="F8" s="21">
        <f>F5</f>
        <v>19048.842788521622</v>
      </c>
      <c r="G8" s="21"/>
      <c r="H8" s="21"/>
      <c r="I8" s="21"/>
      <c r="J8" s="21">
        <f>J5</f>
        <v>428.93164531053452</v>
      </c>
      <c r="K8" s="21"/>
      <c r="L8" s="21">
        <f>L5</f>
        <v>0</v>
      </c>
      <c r="M8" s="21">
        <f>M5</f>
        <v>0</v>
      </c>
      <c r="N8" s="21">
        <f>N5</f>
        <v>4296.2113479440259</v>
      </c>
      <c r="O8" s="21">
        <f>O5</f>
        <v>57.843333333333334</v>
      </c>
      <c r="P8" s="21">
        <f>P5</f>
        <v>57.2</v>
      </c>
    </row>
    <row r="9" spans="1:16">
      <c r="B9" s="19"/>
      <c r="C9" s="19"/>
      <c r="D9" s="256"/>
      <c r="E9" s="19"/>
      <c r="F9" s="19"/>
      <c r="G9" s="19"/>
      <c r="H9" s="19"/>
      <c r="I9" s="19"/>
      <c r="J9" s="19"/>
      <c r="K9" s="19"/>
      <c r="L9" s="19"/>
      <c r="M9" s="19"/>
      <c r="N9" s="19"/>
      <c r="O9" s="19"/>
      <c r="P9" s="19"/>
    </row>
    <row r="10" spans="1:16">
      <c r="A10" s="24" t="s">
        <v>213</v>
      </c>
      <c r="B10" s="25">
        <f ca="1">'EF ele_warmte'!B12</f>
        <v>0.20221598001318425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3719.4786791610486</v>
      </c>
      <c r="C12" s="23">
        <f ca="1">C10*C8</f>
        <v>0</v>
      </c>
      <c r="D12" s="23">
        <f>D8*D10</f>
        <v>8284.1689228747709</v>
      </c>
      <c r="E12" s="23">
        <f>E10*E8</f>
        <v>126.67830297658456</v>
      </c>
      <c r="F12" s="23">
        <f>F10*F8</f>
        <v>5086.0410245352732</v>
      </c>
      <c r="G12" s="23"/>
      <c r="H12" s="23"/>
      <c r="I12" s="23"/>
      <c r="J12" s="23">
        <f>J10*J8</f>
        <v>151.84180243992921</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3670</v>
      </c>
      <c r="C26" s="36"/>
      <c r="D26" s="226"/>
    </row>
    <row r="27" spans="1:5" s="15" customFormat="1">
      <c r="A27" s="228" t="s">
        <v>701</v>
      </c>
      <c r="B27" s="37">
        <f>SUM(HH_hh_gas_aantal,HH_rest_gas_aantal)</f>
        <v>2643</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2510.85</v>
      </c>
      <c r="C31" s="34" t="s">
        <v>110</v>
      </c>
      <c r="D31" s="172"/>
    </row>
    <row r="32" spans="1:5">
      <c r="A32" s="169" t="s">
        <v>72</v>
      </c>
      <c r="B32" s="33">
        <f>IF((B21*($B$26-($B$27-0.05*$B$27)-$B$60))&lt;0,0,B21*($B$26-($B$27-0.05*$B$27)-$B$60))</f>
        <v>8.1966047962211501</v>
      </c>
      <c r="C32" s="34" t="s">
        <v>110</v>
      </c>
      <c r="D32" s="172"/>
    </row>
    <row r="33" spans="1:6">
      <c r="A33" s="169" t="s">
        <v>73</v>
      </c>
      <c r="B33" s="33">
        <f>IF((B22*($B$26-($B$27-0.05*$B$27)-$B$60))&lt;0,0,B22*($B$26-($B$27-0.05*$B$27)-$B$60))</f>
        <v>234.91357827537217</v>
      </c>
      <c r="C33" s="34" t="s">
        <v>110</v>
      </c>
      <c r="D33" s="172"/>
    </row>
    <row r="34" spans="1:6">
      <c r="A34" s="169" t="s">
        <v>74</v>
      </c>
      <c r="B34" s="33">
        <f>IF((B24*($B$26-($B$27-0.05*$B$27)-$B$60))&lt;0,0,B24*($B$26-($B$27-0.05*$B$27)-$B$60))</f>
        <v>46.844250149766303</v>
      </c>
      <c r="C34" s="33">
        <f>B26*C24</f>
        <v>750.43284605909719</v>
      </c>
      <c r="D34" s="231"/>
    </row>
    <row r="35" spans="1:6">
      <c r="A35" s="169" t="s">
        <v>76</v>
      </c>
      <c r="B35" s="33">
        <f>IF((B19*($B$26-($B$27-0.05*$B$27)-$B$60))&lt;0,0,B19*($B$26-($B$27-0.05*$B$27)-$B$60))</f>
        <v>24.394657131610568</v>
      </c>
      <c r="C35" s="33">
        <f>B35/2</f>
        <v>12.197328565805284</v>
      </c>
      <c r="D35" s="231"/>
    </row>
    <row r="36" spans="1:6">
      <c r="A36" s="169" t="s">
        <v>77</v>
      </c>
      <c r="B36" s="33">
        <f>IF((B18*($B$26-($B$27-0.05*$B$27)-$B$60))&lt;0,0,B18*($B$26-($B$27-0.05*$B$27)-$B$60))</f>
        <v>841.80090964702993</v>
      </c>
      <c r="C36" s="34" t="s">
        <v>110</v>
      </c>
      <c r="D36" s="172"/>
    </row>
    <row r="37" spans="1:6">
      <c r="A37" s="169" t="s">
        <v>78</v>
      </c>
      <c r="B37" s="33">
        <f>B60</f>
        <v>3</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37</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3</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6900.4970000000003</v>
      </c>
      <c r="C5" s="17">
        <f>IF(ISERROR('Eigen informatie GS &amp; warmtenet'!B58),0,'Eigen informatie GS &amp; warmtenet'!B58)</f>
        <v>0</v>
      </c>
      <c r="D5" s="30">
        <f>SUM(D6:D12)</f>
        <v>6157.6969300000001</v>
      </c>
      <c r="E5" s="17">
        <f>SUM(E6:E12)</f>
        <v>114.93914011078525</v>
      </c>
      <c r="F5" s="17">
        <f>SUM(F6:F12)</f>
        <v>1227.2870256791846</v>
      </c>
      <c r="G5" s="18"/>
      <c r="H5" s="17"/>
      <c r="I5" s="17"/>
      <c r="J5" s="17">
        <f>SUM(J6:J12)</f>
        <v>0</v>
      </c>
      <c r="K5" s="17"/>
      <c r="L5" s="17"/>
      <c r="M5" s="17"/>
      <c r="N5" s="17">
        <f>SUM(N6:N12)</f>
        <v>169.77926778998733</v>
      </c>
      <c r="O5" s="17">
        <f>B38*B39*B40</f>
        <v>1.5633333333333335</v>
      </c>
      <c r="P5" s="17">
        <f>B46*B47*B48/1000-B46*B47*B48/1000/B49</f>
        <v>38.133333333333333</v>
      </c>
      <c r="R5" s="32"/>
    </row>
    <row r="6" spans="1:18">
      <c r="A6" s="32" t="s">
        <v>53</v>
      </c>
      <c r="B6" s="37">
        <f>B26</f>
        <v>1631.4570000000001</v>
      </c>
      <c r="C6" s="33"/>
      <c r="D6" s="37">
        <f>IF(ISERROR(TER_kantoor_gas_kWh/1000),0,TER_kantoor_gas_kWh/1000)*0.902</f>
        <v>576.95257399999991</v>
      </c>
      <c r="E6" s="33">
        <f>$C$26*'E Balans VL '!I12/100/3.6*1000000</f>
        <v>57.107412738484285</v>
      </c>
      <c r="F6" s="33">
        <f>$C$26*('E Balans VL '!L12+'E Balans VL '!N12)/100/3.6*1000000</f>
        <v>247.36390823855643</v>
      </c>
      <c r="G6" s="34"/>
      <c r="H6" s="33"/>
      <c r="I6" s="33"/>
      <c r="J6" s="33">
        <f>$C$26*('E Balans VL '!D12+'E Balans VL '!E12)/100/3.6*1000000</f>
        <v>0</v>
      </c>
      <c r="K6" s="33"/>
      <c r="L6" s="33"/>
      <c r="M6" s="33"/>
      <c r="N6" s="33">
        <f>$C$26*'E Balans VL '!Y12/100/3.6*1000000</f>
        <v>12.610651978012223</v>
      </c>
      <c r="O6" s="33"/>
      <c r="P6" s="33"/>
      <c r="R6" s="32"/>
    </row>
    <row r="7" spans="1:18">
      <c r="A7" s="32" t="s">
        <v>52</v>
      </c>
      <c r="B7" s="37">
        <f t="shared" ref="B7:B12" si="0">B27</f>
        <v>617.73400000000004</v>
      </c>
      <c r="C7" s="33"/>
      <c r="D7" s="37">
        <f>IF(ISERROR(TER_horeca_gas_kWh/1000),0,TER_horeca_gas_kWh/1000)*0.902</f>
        <v>1098.8921680000001</v>
      </c>
      <c r="E7" s="33">
        <f>$C$27*'E Balans VL '!I9/100/3.6*1000000</f>
        <v>34.848411461785709</v>
      </c>
      <c r="F7" s="33">
        <f>$C$27*('E Balans VL '!L9+'E Balans VL '!N9)/100/3.6*1000000</f>
        <v>107.61268138384854</v>
      </c>
      <c r="G7" s="34"/>
      <c r="H7" s="33"/>
      <c r="I7" s="33"/>
      <c r="J7" s="33">
        <f>$C$27*('E Balans VL '!D9+'E Balans VL '!E9)/100/3.6*1000000</f>
        <v>0</v>
      </c>
      <c r="K7" s="33"/>
      <c r="L7" s="33"/>
      <c r="M7" s="33"/>
      <c r="N7" s="33">
        <f>$C$27*'E Balans VL '!Y9/100/3.6*1000000</f>
        <v>0</v>
      </c>
      <c r="O7" s="33"/>
      <c r="P7" s="33"/>
      <c r="R7" s="32"/>
    </row>
    <row r="8" spans="1:18">
      <c r="A8" s="6" t="s">
        <v>51</v>
      </c>
      <c r="B8" s="37">
        <f t="shared" si="0"/>
        <v>3653.4810000000002</v>
      </c>
      <c r="C8" s="33"/>
      <c r="D8" s="37">
        <f>IF(ISERROR(TER_handel_gas_kWh/1000),0,TER_handel_gas_kWh/1000)*0.902</f>
        <v>2581.9235860000003</v>
      </c>
      <c r="E8" s="33">
        <f>$C$28*'E Balans VL '!I13/100/3.6*1000000</f>
        <v>18.756600265713878</v>
      </c>
      <c r="F8" s="33">
        <f>$C$28*('E Balans VL '!L13+'E Balans VL '!N13)/100/3.6*1000000</f>
        <v>563.31031812349136</v>
      </c>
      <c r="G8" s="34"/>
      <c r="H8" s="33"/>
      <c r="I8" s="33"/>
      <c r="J8" s="33">
        <f>$C$28*('E Balans VL '!D13+'E Balans VL '!E13)/100/3.6*1000000</f>
        <v>0</v>
      </c>
      <c r="K8" s="33"/>
      <c r="L8" s="33"/>
      <c r="M8" s="33"/>
      <c r="N8" s="33">
        <f>$C$28*'E Balans VL '!Y13/100/3.6*1000000</f>
        <v>1.7087776604384932</v>
      </c>
      <c r="O8" s="33"/>
      <c r="P8" s="33"/>
      <c r="R8" s="32"/>
    </row>
    <row r="9" spans="1:18">
      <c r="A9" s="32" t="s">
        <v>50</v>
      </c>
      <c r="B9" s="37">
        <f t="shared" si="0"/>
        <v>226.9</v>
      </c>
      <c r="C9" s="33"/>
      <c r="D9" s="37">
        <f>IF(ISERROR(TER_gezond_gas_kWh/1000),0,TER_gezond_gas_kWh/1000)*0.902</f>
        <v>411.30027400000006</v>
      </c>
      <c r="E9" s="33">
        <f>$C$29*'E Balans VL '!I10/100/3.6*1000000</f>
        <v>9.4048434076114351E-2</v>
      </c>
      <c r="F9" s="33">
        <f>$C$29*('E Balans VL '!L10+'E Balans VL '!N10)/100/3.6*1000000</f>
        <v>55.882215819916695</v>
      </c>
      <c r="G9" s="34"/>
      <c r="H9" s="33"/>
      <c r="I9" s="33"/>
      <c r="J9" s="33">
        <f>$C$29*('E Balans VL '!D10+'E Balans VL '!E10)/100/3.6*1000000</f>
        <v>0</v>
      </c>
      <c r="K9" s="33"/>
      <c r="L9" s="33"/>
      <c r="M9" s="33"/>
      <c r="N9" s="33">
        <f>$C$29*'E Balans VL '!Y10/100/3.6*1000000</f>
        <v>1.9609776058892392</v>
      </c>
      <c r="O9" s="33"/>
      <c r="P9" s="33"/>
      <c r="R9" s="32"/>
    </row>
    <row r="10" spans="1:18">
      <c r="A10" s="32" t="s">
        <v>49</v>
      </c>
      <c r="B10" s="37">
        <f t="shared" si="0"/>
        <v>664.64200000000005</v>
      </c>
      <c r="C10" s="33"/>
      <c r="D10" s="37">
        <f>IF(ISERROR(TER_ander_gas_kWh/1000),0,TER_ander_gas_kWh/1000)*0.902</f>
        <v>879.35168199999998</v>
      </c>
      <c r="E10" s="33">
        <f>$C$30*'E Balans VL '!I14/100/3.6*1000000</f>
        <v>4.0516740305109797</v>
      </c>
      <c r="F10" s="33">
        <f>$C$30*('E Balans VL '!L14+'E Balans VL '!N14)/100/3.6*1000000</f>
        <v>176.20569876262462</v>
      </c>
      <c r="G10" s="34"/>
      <c r="H10" s="33"/>
      <c r="I10" s="33"/>
      <c r="J10" s="33">
        <f>$C$30*('E Balans VL '!D14+'E Balans VL '!E14)/100/3.6*1000000</f>
        <v>0</v>
      </c>
      <c r="K10" s="33"/>
      <c r="L10" s="33"/>
      <c r="M10" s="33"/>
      <c r="N10" s="33">
        <f>$C$30*'E Balans VL '!Y14/100/3.6*1000000</f>
        <v>153.18561914347325</v>
      </c>
      <c r="O10" s="33"/>
      <c r="P10" s="33"/>
      <c r="R10" s="32"/>
    </row>
    <row r="11" spans="1:18">
      <c r="A11" s="32" t="s">
        <v>54</v>
      </c>
      <c r="B11" s="37">
        <f t="shared" si="0"/>
        <v>106.283</v>
      </c>
      <c r="C11" s="33"/>
      <c r="D11" s="37">
        <f>IF(ISERROR(TER_onderwijs_gas_kWh/1000),0,TER_onderwijs_gas_kWh/1000)*0.902</f>
        <v>609.27664600000003</v>
      </c>
      <c r="E11" s="33">
        <f>$C$31*'E Balans VL '!I11/100/3.6*1000000</f>
        <v>8.0993180214275304E-2</v>
      </c>
      <c r="F11" s="33">
        <f>$C$31*('E Balans VL '!L11+'E Balans VL '!N11)/100/3.6*1000000</f>
        <v>76.912203350746907</v>
      </c>
      <c r="G11" s="34"/>
      <c r="H11" s="33"/>
      <c r="I11" s="33"/>
      <c r="J11" s="33">
        <f>$C$31*('E Balans VL '!D11+'E Balans VL '!E11)/100/3.6*1000000</f>
        <v>0</v>
      </c>
      <c r="K11" s="33"/>
      <c r="L11" s="33"/>
      <c r="M11" s="33"/>
      <c r="N11" s="33">
        <f>$C$31*'E Balans VL '!Y11/100/3.6*1000000</f>
        <v>0.3132414021741407</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6900.4970000000003</v>
      </c>
      <c r="C16" s="21">
        <f ca="1">C5+C13+C14</f>
        <v>0</v>
      </c>
      <c r="D16" s="21">
        <f t="shared" ref="D16:N16" ca="1" si="1">MAX((D5+D13+D14),0)</f>
        <v>6157.6969300000001</v>
      </c>
      <c r="E16" s="21">
        <f t="shared" si="1"/>
        <v>114.93914011078525</v>
      </c>
      <c r="F16" s="21">
        <f t="shared" ca="1" si="1"/>
        <v>1227.2870256791846</v>
      </c>
      <c r="G16" s="21">
        <f t="shared" si="1"/>
        <v>0</v>
      </c>
      <c r="H16" s="21">
        <f t="shared" si="1"/>
        <v>0</v>
      </c>
      <c r="I16" s="21">
        <f t="shared" si="1"/>
        <v>0</v>
      </c>
      <c r="J16" s="21">
        <f t="shared" si="1"/>
        <v>0</v>
      </c>
      <c r="K16" s="21">
        <f t="shared" si="1"/>
        <v>0</v>
      </c>
      <c r="L16" s="21">
        <f t="shared" ca="1" si="1"/>
        <v>0</v>
      </c>
      <c r="M16" s="21">
        <f t="shared" si="1"/>
        <v>0</v>
      </c>
      <c r="N16" s="21">
        <f t="shared" ca="1" si="1"/>
        <v>169.77926778998733</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0.20221598001318425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1395.3907634330378</v>
      </c>
      <c r="C20" s="23">
        <f t="shared" ref="C20:P20" ca="1" si="2">C16*C18</f>
        <v>0</v>
      </c>
      <c r="D20" s="23">
        <f t="shared" ca="1" si="2"/>
        <v>1243.85477986</v>
      </c>
      <c r="E20" s="23">
        <f t="shared" si="2"/>
        <v>26.091184805148252</v>
      </c>
      <c r="F20" s="23">
        <f t="shared" ca="1" si="2"/>
        <v>327.68563585634229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1631.4570000000001</v>
      </c>
      <c r="C26" s="39">
        <f>IF(ISERROR(B26*3.6/1000000/'E Balans VL '!Z12*100),0,B26*3.6/1000000/'E Balans VL '!Z12*100)</f>
        <v>3.4331306997220118E-2</v>
      </c>
      <c r="D26" s="234" t="s">
        <v>706</v>
      </c>
      <c r="F26" s="6"/>
    </row>
    <row r="27" spans="1:18">
      <c r="A27" s="229" t="s">
        <v>52</v>
      </c>
      <c r="B27" s="33">
        <f>IF(ISERROR(TER_horeca_ele_kWh/1000),0,TER_horeca_ele_kWh/1000)</f>
        <v>617.73400000000004</v>
      </c>
      <c r="C27" s="39">
        <f>IF(ISERROR(B27*3.6/1000000/'E Balans VL '!Z9*100),0,B27*3.6/1000000/'E Balans VL '!Z9*100)</f>
        <v>5.2301801963534747E-2</v>
      </c>
      <c r="D27" s="234" t="s">
        <v>706</v>
      </c>
      <c r="F27" s="6"/>
    </row>
    <row r="28" spans="1:18">
      <c r="A28" s="169" t="s">
        <v>51</v>
      </c>
      <c r="B28" s="33">
        <f>IF(ISERROR(TER_handel_ele_kWh/1000),0,TER_handel_ele_kWh/1000)</f>
        <v>3653.4810000000002</v>
      </c>
      <c r="C28" s="39">
        <f>IF(ISERROR(B28*3.6/1000000/'E Balans VL '!Z13*100),0,B28*3.6/1000000/'E Balans VL '!Z13*100)</f>
        <v>0.1011461162851338</v>
      </c>
      <c r="D28" s="234" t="s">
        <v>706</v>
      </c>
      <c r="F28" s="6"/>
    </row>
    <row r="29" spans="1:18">
      <c r="A29" s="229" t="s">
        <v>50</v>
      </c>
      <c r="B29" s="33">
        <f>IF(ISERROR(TER_gezond_ele_kWh/1000),0,TER_gezond_ele_kWh/1000)</f>
        <v>226.9</v>
      </c>
      <c r="C29" s="39">
        <f>IF(ISERROR(B29*3.6/1000000/'E Balans VL '!Z10*100),0,B29*3.6/1000000/'E Balans VL '!Z10*100)</f>
        <v>2.9494484520220916E-2</v>
      </c>
      <c r="D29" s="234" t="s">
        <v>706</v>
      </c>
      <c r="F29" s="6"/>
    </row>
    <row r="30" spans="1:18">
      <c r="A30" s="229" t="s">
        <v>49</v>
      </c>
      <c r="B30" s="33">
        <f>IF(ISERROR(TER_ander_ele_kWh/1000),0,TER_ander_ele_kWh/1000)</f>
        <v>664.64200000000005</v>
      </c>
      <c r="C30" s="39">
        <f>IF(ISERROR(B30*3.6/1000000/'E Balans VL '!Z14*100),0,B30*3.6/1000000/'E Balans VL '!Z14*100)</f>
        <v>5.1515850232761042E-2</v>
      </c>
      <c r="D30" s="234" t="s">
        <v>706</v>
      </c>
      <c r="F30" s="6"/>
    </row>
    <row r="31" spans="1:18">
      <c r="A31" s="229" t="s">
        <v>54</v>
      </c>
      <c r="B31" s="33">
        <f>IF(ISERROR(TER_onderwijs_ele_kWh/1000),0,TER_onderwijs_ele_kWh/1000)</f>
        <v>106.283</v>
      </c>
      <c r="C31" s="39">
        <f>IF(ISERROR(B31*3.6/1000000/'E Balans VL '!Z11*100),0,B31*3.6/1000000/'E Balans VL '!Z11*100)</f>
        <v>2.0333748923994855E-2</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2</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1618.1880000000001</v>
      </c>
      <c r="C5" s="17">
        <f>IF(ISERROR('Eigen informatie GS &amp; warmtenet'!B59),0,'Eigen informatie GS &amp; warmtenet'!B59)</f>
        <v>0</v>
      </c>
      <c r="D5" s="30">
        <f>SUM(D6:D15)</f>
        <v>2993.1598180000001</v>
      </c>
      <c r="E5" s="17">
        <f>SUM(E6:E15)</f>
        <v>22.87569156406623</v>
      </c>
      <c r="F5" s="17">
        <f>SUM(F6:F15)</f>
        <v>886.34300713014011</v>
      </c>
      <c r="G5" s="18"/>
      <c r="H5" s="17"/>
      <c r="I5" s="17"/>
      <c r="J5" s="17">
        <f>SUM(J6:J15)</f>
        <v>3.7998855981224144</v>
      </c>
      <c r="K5" s="17"/>
      <c r="L5" s="17"/>
      <c r="M5" s="17"/>
      <c r="N5" s="17">
        <f>SUM(N6:N15)</f>
        <v>82.721567987304624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67.777000000000001</v>
      </c>
      <c r="C8" s="33"/>
      <c r="D8" s="37">
        <f>IF( ISERROR(IND_metaal_Gas_kWH/1000),0,IND_metaal_Gas_kWH/1000)*0.902</f>
        <v>110.042196</v>
      </c>
      <c r="E8" s="33">
        <f>C30*'E Balans VL '!I18/100/3.6*1000000</f>
        <v>0.47625402468328176</v>
      </c>
      <c r="F8" s="33">
        <f>C30*'E Balans VL '!L18/100/3.6*1000000+C30*'E Balans VL '!N18/100/3.6*1000000</f>
        <v>7.4415180655196913</v>
      </c>
      <c r="G8" s="34"/>
      <c r="H8" s="33"/>
      <c r="I8" s="33"/>
      <c r="J8" s="40">
        <f>C30*'E Balans VL '!D18/100/3.6*1000000+C30*'E Balans VL '!E18/100/3.6*1000000</f>
        <v>1.3983855959881586</v>
      </c>
      <c r="K8" s="33"/>
      <c r="L8" s="33"/>
      <c r="M8" s="33"/>
      <c r="N8" s="33">
        <f>C30*'E Balans VL '!Y18/100/3.6*1000000</f>
        <v>0.25403307729430424</v>
      </c>
      <c r="O8" s="33"/>
      <c r="P8" s="33"/>
      <c r="R8" s="32"/>
    </row>
    <row r="9" spans="1:18">
      <c r="A9" s="6" t="s">
        <v>32</v>
      </c>
      <c r="B9" s="37">
        <f t="shared" si="0"/>
        <v>1007.292</v>
      </c>
      <c r="C9" s="33"/>
      <c r="D9" s="37">
        <f>IF( ISERROR(IND_andere_gas_kWh/1000),0,IND_andere_gas_kWh/1000)*0.902</f>
        <v>773.65081200000009</v>
      </c>
      <c r="E9" s="33">
        <f>C31*'E Balans VL '!I19/100/3.6*1000000</f>
        <v>16.918703112098534</v>
      </c>
      <c r="F9" s="33">
        <f>C31*'E Balans VL '!L19/100/3.6*1000000+C31*'E Balans VL '!N19/100/3.6*1000000</f>
        <v>787.44351453143872</v>
      </c>
      <c r="G9" s="34"/>
      <c r="H9" s="33"/>
      <c r="I9" s="33"/>
      <c r="J9" s="40">
        <f>C31*'E Balans VL '!D19/100/3.6*1000000+C31*'E Balans VL '!E19/100/3.6*1000000</f>
        <v>9.0848846645795497E-2</v>
      </c>
      <c r="K9" s="33"/>
      <c r="L9" s="33"/>
      <c r="M9" s="33"/>
      <c r="N9" s="33">
        <f>C31*'E Balans VL '!Y19/100/3.6*1000000</f>
        <v>74.656497777406912</v>
      </c>
      <c r="O9" s="33"/>
      <c r="P9" s="33"/>
      <c r="R9" s="32"/>
    </row>
    <row r="10" spans="1:18">
      <c r="A10" s="6" t="s">
        <v>40</v>
      </c>
      <c r="B10" s="37">
        <f t="shared" si="0"/>
        <v>451.60399999999998</v>
      </c>
      <c r="C10" s="33"/>
      <c r="D10" s="37">
        <f>IF( ISERROR(IND_voed_gas_kWh/1000),0,IND_voed_gas_kWh/1000)*0.902</f>
        <v>405.64563600000002</v>
      </c>
      <c r="E10" s="33">
        <f>C32*'E Balans VL '!I20/100/3.6*1000000</f>
        <v>4.1202472319668226</v>
      </c>
      <c r="F10" s="33">
        <f>C32*'E Balans VL '!L20/100/3.6*1000000+C32*'E Balans VL '!N20/100/3.6*1000000</f>
        <v>72.857850546475959</v>
      </c>
      <c r="G10" s="34"/>
      <c r="H10" s="33"/>
      <c r="I10" s="33"/>
      <c r="J10" s="40">
        <f>C32*'E Balans VL '!D20/100/3.6*1000000+C32*'E Balans VL '!E20/100/3.6*1000000</f>
        <v>1.8600013579144625</v>
      </c>
      <c r="K10" s="33"/>
      <c r="L10" s="33"/>
      <c r="M10" s="33"/>
      <c r="N10" s="33">
        <f>C32*'E Balans VL '!Y20/100/3.6*1000000</f>
        <v>6.6066104202516813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24.587</v>
      </c>
      <c r="C13" s="33"/>
      <c r="D13" s="37">
        <f>IF( ISERROR(IND_papier_gas_kWh/1000),0,IND_papier_gas_kWh/1000)*0.902</f>
        <v>83.64246</v>
      </c>
      <c r="E13" s="33">
        <f>C35*'E Balans VL '!I23/100/3.6*1000000</f>
        <v>0.75647782364481631</v>
      </c>
      <c r="F13" s="33">
        <f>C35*'E Balans VL '!L23/100/3.6*1000000+C35*'E Balans VL '!N23/100/3.6*1000000</f>
        <v>5.2206793648825789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66.927999999999997</v>
      </c>
      <c r="C15" s="33"/>
      <c r="D15" s="37">
        <f>IF( ISERROR(IND_rest_gas_kWh/1000),0,IND_rest_gas_kWh/1000)*0.902</f>
        <v>1620.1787140000001</v>
      </c>
      <c r="E15" s="33">
        <f>C37*'E Balans VL '!I15/100/3.6*1000000</f>
        <v>0.60400937167277657</v>
      </c>
      <c r="F15" s="33">
        <f>C37*'E Balans VL '!L15/100/3.6*1000000+C37*'E Balans VL '!N15/100/3.6*1000000</f>
        <v>13.379444621823037</v>
      </c>
      <c r="G15" s="34"/>
      <c r="H15" s="33"/>
      <c r="I15" s="33"/>
      <c r="J15" s="40">
        <f>C37*'E Balans VL '!D15/100/3.6*1000000+C37*'E Balans VL '!E15/100/3.6*1000000</f>
        <v>0.45064979757399787</v>
      </c>
      <c r="K15" s="33"/>
      <c r="L15" s="33"/>
      <c r="M15" s="33"/>
      <c r="N15" s="33">
        <f>C37*'E Balans VL '!Y15/100/3.6*1000000</f>
        <v>1.2044267123517256</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1618.1880000000001</v>
      </c>
      <c r="C18" s="21">
        <f>C5+C16</f>
        <v>0</v>
      </c>
      <c r="D18" s="21">
        <f>MAX((D5+D16),0)</f>
        <v>2993.1598180000001</v>
      </c>
      <c r="E18" s="21">
        <f>MAX((E5+E16),0)</f>
        <v>22.87569156406623</v>
      </c>
      <c r="F18" s="21">
        <f>MAX((F5+F16),0)</f>
        <v>886.34300713014011</v>
      </c>
      <c r="G18" s="21"/>
      <c r="H18" s="21"/>
      <c r="I18" s="21"/>
      <c r="J18" s="21">
        <f>MAX((J5+J16),0)</f>
        <v>3.7998855981224144</v>
      </c>
      <c r="K18" s="21"/>
      <c r="L18" s="21">
        <f>MAX((L5+L16),0)</f>
        <v>0</v>
      </c>
      <c r="M18" s="21"/>
      <c r="N18" s="21">
        <f>MAX((N5+N16),0)</f>
        <v>82.721567987304624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0.20221598001318425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327.22347226557463</v>
      </c>
      <c r="C22" s="23">
        <f ca="1">C18*C20</f>
        <v>0</v>
      </c>
      <c r="D22" s="23">
        <f>D18*D20</f>
        <v>604.61828323600002</v>
      </c>
      <c r="E22" s="23">
        <f>E18*E20</f>
        <v>5.1927819850430348</v>
      </c>
      <c r="F22" s="23">
        <f>F18*F20</f>
        <v>236.65358290374743</v>
      </c>
      <c r="G22" s="23"/>
      <c r="H22" s="23"/>
      <c r="I22" s="23"/>
      <c r="J22" s="23">
        <f>J18*J20</f>
        <v>1.3451595017353346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67.777000000000001</v>
      </c>
      <c r="C30" s="39">
        <f>IF(ISERROR(B30*3.6/1000000/'E Balans VL '!Z18*100),0,B30*3.6/1000000/'E Balans VL '!Z18*100)</f>
        <v>4.5119562781044502E-3</v>
      </c>
      <c r="D30" s="234" t="s">
        <v>706</v>
      </c>
    </row>
    <row r="31" spans="1:18">
      <c r="A31" s="6" t="s">
        <v>32</v>
      </c>
      <c r="B31" s="37">
        <f>IF( ISERROR(IND_ander_ele_kWh/1000),0,IND_ander_ele_kWh/1000)</f>
        <v>1007.292</v>
      </c>
      <c r="C31" s="39">
        <f>IF(ISERROR(B31*3.6/1000000/'E Balans VL '!Z19*100),0,B31*3.6/1000000/'E Balans VL '!Z19*100)</f>
        <v>4.4649262515339766E-2</v>
      </c>
      <c r="D31" s="234" t="s">
        <v>706</v>
      </c>
    </row>
    <row r="32" spans="1:18">
      <c r="A32" s="169" t="s">
        <v>40</v>
      </c>
      <c r="B32" s="37">
        <f>IF( ISERROR(IND_voed_ele_kWh/1000),0,IND_voed_ele_kWh/1000)</f>
        <v>451.60399999999998</v>
      </c>
      <c r="C32" s="39">
        <f>IF(ISERROR(B32*3.6/1000000/'E Balans VL '!Z20*100),0,B32*3.6/1000000/'E Balans VL '!Z20*100)</f>
        <v>1.5084869084207577E-2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24.587</v>
      </c>
      <c r="C35" s="39">
        <f>IF(ISERROR(B35*3.6/1000000/'E Balans VL '!Z22*100),0,B35*3.6/1000000/'E Balans VL '!Z22*100)</f>
        <v>4.7819014271568688E-3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66.927999999999997</v>
      </c>
      <c r="C37" s="39">
        <f>IF(ISERROR(B37*3.6/1000000/'E Balans VL '!Z15*100),0,B37*3.6/1000000/'E Balans VL '!Z15*100)</f>
        <v>4.9783528496122526E-4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1535.1279999999999</v>
      </c>
      <c r="C5" s="17">
        <f>'Eigen informatie GS &amp; warmtenet'!B60</f>
        <v>0</v>
      </c>
      <c r="D5" s="30">
        <f>IF(ISERROR(SUM(LB_lb_gas_kWh,LB_rest_gas_kWh)/1000),0,SUM(LB_lb_gas_kWh,LB_rest_gas_kWh)/1000)*0.902</f>
        <v>115.81860399999999</v>
      </c>
      <c r="E5" s="17">
        <f>B17*'E Balans VL '!I25/3.6*1000000/100</f>
        <v>16.076192757659186</v>
      </c>
      <c r="F5" s="17">
        <f>B17*('E Balans VL '!L25/3.6*1000000+'E Balans VL '!N25/3.6*1000000)/100</f>
        <v>6571.5142895502559</v>
      </c>
      <c r="G5" s="18"/>
      <c r="H5" s="17"/>
      <c r="I5" s="17"/>
      <c r="J5" s="17">
        <f>('E Balans VL '!D25+'E Balans VL '!E25)/3.6*1000000*landbouw!B17/100</f>
        <v>137.10068998699791</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1535.1279999999999</v>
      </c>
      <c r="C8" s="21">
        <f>C5+C6</f>
        <v>0</v>
      </c>
      <c r="D8" s="21">
        <f>MAX((D5+D6),0)</f>
        <v>115.81860399999999</v>
      </c>
      <c r="E8" s="21">
        <f>MAX((E5+E6),0)</f>
        <v>16.076192757659186</v>
      </c>
      <c r="F8" s="21">
        <f>MAX((F5+F6),0)</f>
        <v>6571.5142895502559</v>
      </c>
      <c r="G8" s="21"/>
      <c r="H8" s="21"/>
      <c r="I8" s="21"/>
      <c r="J8" s="21">
        <f>MAX((J5+J6),0)</f>
        <v>137.10068998699791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0.20221598001318425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310.42741296567948</v>
      </c>
      <c r="C12" s="23">
        <f ca="1">C8*C10</f>
        <v>0</v>
      </c>
      <c r="D12" s="23">
        <f>D8*D10</f>
        <v>23.395358007999999</v>
      </c>
      <c r="E12" s="23">
        <f>E8*E10</f>
        <v>3.6492957559886352</v>
      </c>
      <c r="F12" s="23">
        <f>F8*F10</f>
        <v>1754.5943153099183</v>
      </c>
      <c r="G12" s="23"/>
      <c r="H12" s="23"/>
      <c r="I12" s="23"/>
      <c r="J12" s="23">
        <f>J8*J10</f>
        <v>48.533644255397256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0.23628583264661465</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285.00996285057346</v>
      </c>
      <c r="C26" s="244">
        <f>B26*'GWP N2O_CH4'!B5</f>
        <v>5985.209219862043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124.60489038246226</v>
      </c>
      <c r="C27" s="244">
        <f>B27*'GWP N2O_CH4'!B5</f>
        <v>2616.7026980317073</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4.5597728207232899</v>
      </c>
      <c r="C28" s="244">
        <f>B28*'GWP N2O_CH4'!B4</f>
        <v>1413.5295744242198</v>
      </c>
      <c r="D28" s="50"/>
    </row>
    <row r="29" spans="1:4">
      <c r="A29" s="41" t="s">
        <v>272</v>
      </c>
      <c r="B29" s="244">
        <f>B34*'ha_N2O bodem landbouw'!B4</f>
        <v>22.429676477961422</v>
      </c>
      <c r="C29" s="244">
        <f>B29*'GWP N2O_CH4'!B4</f>
        <v>6953.1997081680411</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3.7067986225518476E-3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5.9204122714284253E-6</v>
      </c>
      <c r="C5" s="435" t="s">
        <v>210</v>
      </c>
      <c r="D5" s="420">
        <f>SUM(D6:D11)</f>
        <v>1.8448886658791168E-5</v>
      </c>
      <c r="E5" s="420">
        <f>SUM(E6:E11)</f>
        <v>2.164864944839859E-3</v>
      </c>
      <c r="F5" s="433" t="s">
        <v>210</v>
      </c>
      <c r="G5" s="420">
        <f>SUM(G6:G11)</f>
        <v>0.43379837051083148</v>
      </c>
      <c r="H5" s="420">
        <f>SUM(H6:H11)</f>
        <v>6.3302544764245086E-2</v>
      </c>
      <c r="I5" s="435" t="s">
        <v>210</v>
      </c>
      <c r="J5" s="435" t="s">
        <v>210</v>
      </c>
      <c r="K5" s="435" t="s">
        <v>210</v>
      </c>
      <c r="L5" s="435" t="s">
        <v>210</v>
      </c>
      <c r="M5" s="420">
        <f>SUM(M6:M11)</f>
        <v>2.1601179867094974E-2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1.6686369068524635E-6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5.2832731714576706E-6</v>
      </c>
      <c r="E6" s="423">
        <f>vkm_GW_PW*SUMIFS(TableVerdeelsleutelVkm[LPG],TableVerdeelsleutelVkm[Voertuigtype],"Lichte voertuigen")*SUMIFS(TableECFTransport[EnergieConsumptieFactor (PJ per km)],TableECFTransport[Index],CONCATENATE($A6,"_LPG_LPG"))</f>
        <v>5.5056300584903296E-4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7.3335129630297605E-2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1.7592939248883756E-2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3.9689333641691922E-3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6.5797321991963941E-8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2.9659930156767478E-2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8.0304205496928824E-7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1.2777621248744873E-3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4.4597856629368762E-7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2.3997895026668404E-6</v>
      </c>
      <c r="E8" s="423">
        <f>vkm_NGW_PW*SUMIFS(TableVerdeelsleutelVkm[LPG],TableVerdeelsleutelVkm[Voertuigtype],"Lichte voertuigen")*SUMIFS(TableECFTransport[EnergieConsumptieFactor (PJ per km)],TableECFTransport[Index],CONCATENATE($A8,"_LPG_LPG"))</f>
        <v>2.3600401719389908E-4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2.9763867023428443E-2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7.5562757747129582E-3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1.6299810616343942E-3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1.2112206863922934E-8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7.5628276267564664E-3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1.7843078971721013E-7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3.2580854710857228E-4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3.4495451014212873E-6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1.0765823984666657E-5</v>
      </c>
      <c r="E10" s="423">
        <f>vkm_SW_PW*SUMIFS(TableVerdeelsleutelVkm[LPG],TableVerdeelsleutelVkm[Voertuigtype],"Lichte voertuigen")*SUMIFS(TableECFTransport[EnergieConsumptieFactor (PJ per km)],TableECFTransport[Index],CONCATENATE($A10,"_LPG_LPG"))</f>
        <v>1.3782979217969267E-3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0.17240824389948115</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3.8148851719623907E-2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9.183008889034474E-3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2.7834216800510016E-7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0.12106837217410035</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3.4965481797830852E-6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5.2156858802738541E-3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1.6445589642856735</v>
      </c>
      <c r="C14" s="21"/>
      <c r="D14" s="21">
        <f t="shared" ref="D14:M14" si="0">((D5)*10^9/3600)+D12</f>
        <v>5.1246907385531024</v>
      </c>
      <c r="E14" s="21">
        <f t="shared" si="0"/>
        <v>601.35137356662744</v>
      </c>
      <c r="F14" s="21"/>
      <c r="G14" s="21">
        <f t="shared" si="0"/>
        <v>120499.54736411985</v>
      </c>
      <c r="H14" s="21">
        <f t="shared" si="0"/>
        <v>17584.040212290303</v>
      </c>
      <c r="I14" s="21"/>
      <c r="J14" s="21"/>
      <c r="K14" s="21"/>
      <c r="L14" s="21"/>
      <c r="M14" s="21">
        <f t="shared" si="0"/>
        <v>6000.327740859715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0.20221598001318425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0.33255610265249474</v>
      </c>
      <c r="C18" s="23"/>
      <c r="D18" s="23">
        <f t="shared" ref="D18:M18" si="1">D14*D16</f>
        <v>1.0351875291877268</v>
      </c>
      <c r="E18" s="23">
        <f t="shared" si="1"/>
        <v>136.50676179962443</v>
      </c>
      <c r="F18" s="23"/>
      <c r="G18" s="23">
        <f t="shared" si="1"/>
        <v>32173.379146220002</v>
      </c>
      <c r="H18" s="23">
        <f t="shared" si="1"/>
        <v>4378.4260128602855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1.8555419772684035E-5</v>
      </c>
      <c r="C50" s="315">
        <f t="shared" ref="C50:P50" si="2">SUM(C51:C52)</f>
        <v>0</v>
      </c>
      <c r="D50" s="315">
        <f t="shared" si="2"/>
        <v>0</v>
      </c>
      <c r="E50" s="315">
        <f t="shared" si="2"/>
        <v>0</v>
      </c>
      <c r="F50" s="315">
        <f t="shared" si="2"/>
        <v>0</v>
      </c>
      <c r="G50" s="315">
        <f t="shared" si="2"/>
        <v>4.02541202589758E-3</v>
      </c>
      <c r="H50" s="315">
        <f t="shared" si="2"/>
        <v>0</v>
      </c>
      <c r="I50" s="315">
        <f t="shared" si="2"/>
        <v>0</v>
      </c>
      <c r="J50" s="315">
        <f t="shared" si="2"/>
        <v>0</v>
      </c>
      <c r="K50" s="315">
        <f t="shared" si="2"/>
        <v>0</v>
      </c>
      <c r="L50" s="315">
        <f t="shared" si="2"/>
        <v>0</v>
      </c>
      <c r="M50" s="315">
        <f t="shared" si="2"/>
        <v>1.723526803389037E-4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1.8555419772684035E-5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4.02541202589758E-3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1.723526803389037E-4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5.1542832701900103</v>
      </c>
      <c r="C54" s="21">
        <f t="shared" ref="C54:P54" si="3">(C50)*10^9/3600</f>
        <v>0</v>
      </c>
      <c r="D54" s="21">
        <f t="shared" si="3"/>
        <v>0</v>
      </c>
      <c r="E54" s="21">
        <f t="shared" si="3"/>
        <v>0</v>
      </c>
      <c r="F54" s="21">
        <f t="shared" si="3"/>
        <v>0</v>
      </c>
      <c r="G54" s="21">
        <f t="shared" si="3"/>
        <v>1118.1700071937723</v>
      </c>
      <c r="H54" s="21">
        <f t="shared" si="3"/>
        <v>0</v>
      </c>
      <c r="I54" s="21">
        <f t="shared" si="3"/>
        <v>0</v>
      </c>
      <c r="J54" s="21">
        <f t="shared" si="3"/>
        <v>0</v>
      </c>
      <c r="K54" s="21">
        <f t="shared" si="3"/>
        <v>0</v>
      </c>
      <c r="L54" s="21">
        <f t="shared" si="3"/>
        <v>0</v>
      </c>
      <c r="M54" s="21">
        <f t="shared" si="3"/>
        <v>47.875744538584364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0.20221598001318425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1.0422784427470331</v>
      </c>
      <c r="C58" s="23">
        <f t="shared" ref="C58:P58" ca="1" si="4">C54*C56</f>
        <v>0</v>
      </c>
      <c r="D58" s="23">
        <f t="shared" si="4"/>
        <v>0</v>
      </c>
      <c r="E58" s="23">
        <f t="shared" si="4"/>
        <v>0</v>
      </c>
      <c r="F58" s="23">
        <f t="shared" si="4"/>
        <v>0</v>
      </c>
      <c r="G58" s="23">
        <f t="shared" si="4"/>
        <v>298.55139192073722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2567.1197108624774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2567.1197108624774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2021-06-29T16:59:53Z</dcterms:modified>
</cp:coreProperties>
</file>