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4" i="13"/>
  <c r="B32" i="13"/>
  <c r="B35" i="13"/>
  <c r="C35" i="13" s="1"/>
  <c r="B33"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12" i="13" l="1"/>
  <c r="Q41" i="14" s="1"/>
  <c r="P4" i="48"/>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<sst xmlns="http://schemas.openxmlformats.org/spreadsheetml/2006/main" count="2590" uniqueCount="989">
  <si>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</si>
  <si>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</si>
  <si>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</si>
  <si>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</si>
  <si>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</si>
  <si>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</si>
  <si>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</si>
  <si>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</si>
  <si>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</si>
  <si>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</si>
  <si>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</si>
  <si>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</si>
  <si>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</si>
  <si>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</si>
  <si>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</si>
  <si>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</si>
  <si>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</si>
  <si>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</si>
  <si>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</si>
  <si>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</si>
  <si>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</si>
  <si>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</si>
  <si>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</si>
  <si>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</si>
  <si>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</si>
  <si>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</si>
  <si>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</si>
  <si>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</si>
  <si>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</si>
  <si>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</si>
  <si>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</si>
  <si>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</si>
  <si>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</si>
  <si>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</si>
  <si>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</si>
  <si>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</si>
  <si>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</si>
  <si>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</si>
  <si>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</si>
  <si>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</si>
  <si>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</si>
  <si>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</si>
  <si>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</si>
  <si>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</si>
  <si>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</si>
  <si>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</si>
  <si>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</si>
  <si>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</si>
  <si>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</si>
  <si>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</si>
  <si>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</si>
  <si>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</si>
  <si>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</si>
  <si>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</si>
  <si>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</si>
  <si>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</si>
  <si>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</si>
  <si>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</si>
  <si>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</si>
  <si>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</si>
  <si>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</si>
  <si>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</si>
  <si>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</si>
  <si>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</si>
  <si>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</si>
  <si>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</si>
  <si>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</si>
  <si>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</si>
  <si>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</si>
  <si>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</si>
  <si>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</si>
  <si>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</si>
  <si>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</si>
  <si>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</si>
  <si>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</si>
  <si>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</si>
  <si>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</si>
  <si>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</si>
  <si>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</si>
  <si>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</si>
  <si>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</si>
  <si>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</si>
  <si>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</si>
  <si>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</si>
  <si>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</si>
  <si>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</si>
  <si>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</si>
  <si>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</si>
  <si>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</si>
  <si>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</si>
  <si>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</si>
  <si>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</si>
  <si>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</si>
  <si>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</si>
  <si>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</si>
  <si>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</si>
  <si>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</si>
  <si>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</si>
  <si>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</si>
  <si>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</si>
  <si>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</si>
  <si>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</si>
  <si>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</si>
  <si>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</si>
  <si>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</si>
  <si>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</si>
  <si>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</si>
  <si>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</si>
  <si>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</si>
  <si>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</si>
  <si>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</si>
  <si>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</si>
  <si>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</si>
  <si>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</si>
  <si>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</si>
  <si>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</si>
  <si>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</si>
  <si>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</si>
  <si>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</si>
  <si>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</si>
  <si>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</si>
  <si>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</si>
  <si>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</si>
  <si>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</si>
  <si>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</si>
  <si>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</si>
  <si>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</si>
  <si>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</si>
  <si>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</si>
  <si>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</si>
  <si>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</si>
  <si>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</si>
  <si>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</si>
  <si>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</si>
  <si>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</si>
  <si>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</si>
  <si>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</si>
  <si>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</si>
  <si>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</si>
  <si>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</si>
  <si>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</si>
  <si>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</si>
  <si>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</si>
  <si>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</si>
  <si>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</si>
  <si>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</si>
  <si>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</si>
  <si>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</si>
  <si>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</si>
  <si>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</si>
  <si>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</si>
  <si>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</si>
  <si>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</si>
  <si>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</si>
  <si>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</si>
  <si>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</si>
  <si>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</si>
  <si>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</si>
  <si>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</si>
  <si>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</si>
  <si>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</si>
  <si>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</si>
  <si>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</si>
  <si>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</si>
  <si>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</si>
  <si>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</si>
  <si>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</si>
  <si>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</si>
  <si>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</si>
  <si>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</si>
  <si>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</si>
  <si>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</si>
  <si>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</si>
  <si>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</si>
  <si>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</si>
  <si>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</si>
  <si>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</si>
  <si>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</si>
  <si>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</si>
  <si>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</si>
  <si>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</si>
  <si>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</si>
  <si>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</si>
  <si>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</si>
  <si>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</si>
  <si>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</si>
  <si>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</si>
  <si>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</si>
  <si>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</si>
  <si>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</si>
  <si>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</si>
  <si>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</si>
  <si>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</si>
  <si>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</si>
  <si>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</si>
  <si>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</si>
  <si>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</si>
  <si>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</si>
  <si>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</si>
  <si>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</si>
  <si>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</si>
  <si>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</si>
  <si>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</si>
  <si>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</si>
  <si>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</si>
  <si>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</si>
  <si>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</si>
  <si>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</si>
  <si>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</si>
  <si>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</si>
  <si>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</si>
  <si>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</si>
  <si>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</si>
  <si>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</si>
  <si>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</si>
  <si>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</si>
  <si>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</si>
  <si>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</si>
  <si>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</si>
  <si>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</si>
  <si>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</si>
  <si>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</si>
  <si>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</si>
  <si>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</si>
  <si>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</si>
  <si>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</si>
  <si>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</si>
  <si>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</si>
  <si>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</si>
  <si>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</si>
  <si>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</si>
  <si>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</si>
  <si>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</si>
  <si>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</si>
  <si>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</si>
  <si>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</si>
  <si>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</si>
  <si>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</si>
  <si>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</si>
  <si>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</si>
  <si>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</si>
  <si>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</si>
  <si>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</si>
  <si>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</si>
  <si>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</si>
  <si>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</si>
  <si>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</si>
  <si>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</si>
  <si>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</si>
  <si>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</si>
  <si>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</si>
  <si>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</si>
  <si>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</si>
  <si>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</si>
  <si>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</si>
  <si>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</si>
  <si>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</si>
  <si>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</si>
  <si>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</si>
  <si>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</si>
  <si>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</si>
  <si>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</si>
  <si>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</si>
  <si>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</si>
  <si>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</si>
  <si>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</si>
  <si>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</si>
  <si>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</si>
  <si>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</si>
  <si>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</si>
  <si>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</si>
  <si>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</si>
  <si>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</si>
  <si>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</si>
  <si>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</si>
  <si>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</si>
  <si>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</si>
  <si>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</si>
  <si>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</si>
  <si>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</si>
  <si>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</si>
  <si>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</si>
  <si>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</si>
  <si>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</si>
  <si>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</si>
  <si>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</si>
  <si>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</si>
  <si>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</si>
  <si>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</si>
  <si>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</si>
  <si>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</si>
  <si>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</si>
  <si>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</si>
  <si>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</si>
  <si>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</si>
  <si>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</si>
  <si>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</si>
  <si>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</si>
  <si>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</si>
  <si>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</si>
  <si>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</si>
  <si>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</si>
  <si>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</si>
  <si>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</si>
  <si>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</si>
  <si>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</si>
  <si>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</si>
  <si>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</si>
  <si>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</si>
  <si>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</si>
  <si>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</si>
  <si>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</si>
  <si>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</si>
  <si>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</si>
  <si>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</si>
  <si>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</si>
  <si>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</si>
  <si>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</si>
  <si>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</si>
  <si>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</si>
  <si>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</si>
  <si>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</si>
  <si>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</si>
  <si>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</si>
  <si>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</si>
  <si>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</si>
  <si>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</si>
  <si>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</si>
  <si>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</si>
  <si>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</si>
  <si>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</si>
  <si>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</si>
  <si>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</si>
  <si>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</si>
  <si>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</si>
  <si>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</si>
  <si>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</si>
  <si>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</si>
  <si>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</si>
  <si>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</si>
  <si>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</si>
  <si>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</si>
  <si>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</si>
  <si>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</si>
  <si>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</si>
  <si>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</si>
  <si>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</si>
  <si>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</si>
  <si>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</si>
  <si>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</si>
  <si>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</si>
  <si>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</si>
  <si>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</si>
  <si>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</si>
  <si>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</si>
  <si>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</si>
  <si>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</si>
  <si>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</si>
  <si>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</si>
  <si>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</si>
  <si>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</si>
  <si>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</si>
  <si>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</si>
  <si>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</si>
  <si>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</si>
  <si>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</si>
  <si>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</si>
  <si>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</si>
  <si>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</si>
  <si>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</si>
  <si>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</si>
  <si>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</si>
  <si>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</si>
  <si>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</si>
  <si>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</si>
  <si>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</si>
  <si>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</si>
  <si>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</si>
  <si>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</si>
  <si>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</si>
  <si>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</si>
  <si>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</si>
  <si>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</si>
  <si>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</si>
  <si>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</si>
  <si>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</si>
  <si>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</si>
  <si>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</si>
  <si>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</si>
  <si>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</si>
  <si>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</si>
  <si>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</si>
  <si>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</si>
  <si>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</si>
  <si>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</si>
  <si>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</si>
  <si>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</si>
  <si>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</si>
  <si>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</si>
  <si>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</si>
  <si>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</si>
  <si>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</si>
  <si>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</si>
  <si>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</si>
  <si>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</si>
  <si>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</si>
  <si>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</si>
  <si>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</si>
  <si>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</si>
  <si>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</si>
  <si>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</si>
  <si>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</si>
  <si>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</si>
  <si>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</si>
  <si>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</si>
  <si>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</si>
  <si>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</si>
  <si>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</si>
  <si>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</si>
  <si>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</si>
  <si>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</si>
  <si>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</si>
  <si>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</si>
  <si>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</si>
  <si>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</si>
  <si>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</si>
  <si>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</si>
  <si>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</si>
  <si>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</si>
  <si>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</si>
  <si>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</si>
  <si>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</si>
  <si>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</si>
  <si>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</si>
  <si>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</si>
  <si>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</si>
  <si>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</si>
  <si>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</si>
  <si>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</si>
  <si>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</si>
  <si>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</si>
  <si>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</si>
  <si>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</si>
  <si>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</si>
  <si>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</si>
  <si>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</si>
  <si>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</si>
  <si>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</si>
  <si>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</si>
  <si>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</si>
  <si>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</si>
  <si>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</si>
  <si>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</si>
  <si>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</si>
  <si>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</si>
  <si>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</si>
  <si>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</si>
  <si>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</si>
  <si>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</si>
  <si>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</si>
  <si>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</si>
  <si>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</si>
  <si>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</si>
  <si>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</si>
  <si>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</si>
  <si>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</si>
  <si>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</si>
  <si>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</si>
  <si>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</si>
  <si>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</si>
  <si>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</si>
  <si>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</si>
  <si>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</si>
  <si>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</si>
  <si>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</si>
  <si>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</si>
  <si>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</si>
  <si>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</si>
  <si>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</si>
  <si>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</si>
  <si>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</si>
  <si>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</si>
  <si>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</si>
  <si>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</si>
  <si>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</si>
  <si>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</si>
  <si>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</si>
  <si>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</si>
  <si>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</si>
  <si>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</si>
  <si>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</si>
  <si>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</si>
  <si>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</si>
  <si>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</si>
  <si>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</si>
  <si>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</si>
  <si>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</si>
  <si>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</si>
  <si>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</si>
  <si>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</si>
  <si>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</si>
  <si>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</si>
  <si>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</si>
  <si>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</si>
  <si>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</si>
  <si>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</si>
  <si>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</si>
  <si>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</si>
  <si>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</si>
  <si>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</si>
  <si>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</si>
  <si>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</si>
  <si>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</si>
  <si>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</si>
  <si>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</si>
  <si>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</si>
  <si>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</si>
  <si>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</si>
  <si>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</si>
  <si>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</si>
  <si>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</si>
  <si>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</si>
  <si>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</si>
  <si>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</si>
  <si>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</si>
  <si>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</si>
  <si>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</si>
  <si>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</si>
  <si>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</si>
  <si>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</si>
  <si>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</si>
  <si>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</si>
  <si>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</si>
  <si>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</si>
  <si>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</si>
  <si>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</si>
  <si>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</si>
  <si>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</si>
  <si>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</si>
  <si>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</si>
  <si>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</si>
  <si>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</si>
  <si>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</si>
  <si>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</si>
  <si>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</si>
  <si>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</si>
  <si>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</si>
  <si>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</si>
  <si>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</si>
  <si>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</si>
  <si>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</si>
  <si>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</si>
  <si>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</si>
  <si>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</si>
  <si>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</si>
  <si>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</si>
  <si>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</si>
  <si>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</si>
  <si>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</si>
  <si>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</si>
  <si>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</si>
  <si>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</si>
  <si>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</si>
  <si>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</si>
  <si>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</si>
  <si>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</si>
  <si>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</si>
  <si>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</si>
  <si>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</si>
  <si>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</si>
  <si>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</si>
  <si>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</si>
  <si>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</si>
  <si>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</si>
  <si>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</si>
  <si>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</si>
  <si>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</si>
  <si>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</si>
  <si>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</si>
  <si>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</si>
  <si>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</si>
  <si>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</si>
  <si>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</si>
  <si>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</si>
  <si>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</si>
  <si>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</si>
  <si>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</si>
  <si>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</si>
  <si>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</si>
  <si>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</si>
  <si>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</si>
  <si>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</si>
  <si>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</si>
  <si>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</si>
  <si>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</si>
  <si>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</si>
  <si>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</si>
  <si>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</si>
  <si>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</si>
  <si>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</si>
  <si>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</si>
  <si>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</si>
  <si>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</si>
  <si>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</si>
  <si>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</si>
  <si>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</si>
  <si>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</si>
  <si>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</si>
  <si>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</si>
  <si>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</si>
  <si>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</si>
  <si>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</si>
  <si>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</si>
  <si>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</si>
  <si>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</si>
  <si>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</si>
  <si>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</si>
  <si>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</si>
  <si>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</si>
  <si>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</si>
  <si>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</si>
  <si>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</si>
  <si>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</si>
  <si>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</si>
  <si>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</si>
  <si>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</si>
  <si>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</si>
  <si>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</si>
  <si>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</si>
  <si>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</si>
  <si>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</si>
  <si>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</si>
  <si>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</si>
  <si>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</si>
  <si>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</si>
  <si>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</si>
  <si>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</si>
  <si>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</si>
  <si>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</si>
  <si>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</si>
  <si>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</si>
  <si>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</si>
  <si>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</si>
  <si>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</si>
  <si>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</si>
  <si>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</si>
  <si>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</si>
  <si>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</si>
  <si>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</si>
  <si>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</si>
  <si>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</si>
  <si>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</si>
  <si>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</si>
  <si>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</si>
  <si>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</si>
  <si>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</si>
  <si>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</si>
  <si>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</si>
  <si>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</si>
  <si>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</si>
  <si>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</si>
  <si>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</si>
  <si>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</si>
  <si>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</si>
  <si>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</si>
  <si>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</si>
  <si>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</si>
  <si>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</si>
  <si>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</si>
  <si>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</si>
  <si>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</si>
  <si>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</si>
  <si>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</si>
  <si>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</si>
  <si>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</si>
  <si>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</si>
  <si>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</si>
  <si>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</si>
  <si>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</si>
  <si>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</si>
  <si>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</si>
  <si>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</si>
  <si>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</si>
  <si>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</si>
  <si>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</si>
  <si>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</si>
  <si>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</si>
  <si>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</si>
  <si>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</si>
  <si>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</si>
  <si>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</si>
  <si>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</si>
  <si>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</si>
  <si>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</si>
  <si>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</si>
  <si>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</si>
  <si>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</si>
  <si>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</si>
  <si>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</si>
  <si>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</si>
  <si>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</si>
  <si>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</si>
  <si>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</si>
  <si>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</si>
  <si>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</si>
  <si>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</si>
  <si>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</si>
  <si>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</si>
  <si>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</si>
  <si>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</si>
  <si>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</si>
  <si>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</si>
  <si>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</si>
  <si>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</si>
  <si>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</si>
  <si>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</si>
  <si>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</si>
  <si>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</si>
  <si>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</si>
  <si>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</si>
  <si>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</si>
  <si>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</si>
  <si>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</si>
  <si>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</si>
  <si>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</si>
  <si>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</si>
  <si>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</si>
  <si>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</si>
  <si>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</si>
  <si>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</si>
  <si>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</si>
  <si>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</si>
  <si>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</si>
  <si>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</si>
  <si>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</si>
  <si>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</si>
  <si>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</si>
  <si>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</si>
  <si>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</si>
  <si>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</si>
  <si>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</si>
  <si>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</si>
  <si>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</si>
  <si>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</si>
  <si>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</si>
  <si>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</si>
  <si>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</si>
  <si>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</si>
  <si>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</si>
  <si>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</si>
  <si>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</si>
  <si>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</si>
  <si>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</si>
  <si>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</si>
  <si>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</si>
  <si>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</si>
  <si>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</si>
  <si>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</si>
  <si>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</si>
  <si>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</si>
  <si>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</si>
  <si>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</si>
  <si>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</si>
  <si>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</si>
  <si>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</si>
  <si>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</si>
  <si>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</si>
  <si>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</si>
  <si>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</si>
  <si>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</si>
  <si>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</si>
  <si>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</si>
  <si>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</si>
  <si>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</si>
  <si>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</si>
  <si>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</si>
  <si>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</si>
  <si>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</si>
  <si>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</si>
  <si>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</si>
  <si>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</si>
  <si>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</si>
  <si>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</si>
  <si>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</si>
  <si>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</si>
  <si>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</si>
  <si>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</si>
  <si>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</si>
  <si>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</si>
  <si>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</si>
  <si>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</si>
  <si>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</si>
  <si>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</si>
  <si>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</si>
  <si>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</si>
  <si>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</si>
  <si>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</si>
  <si>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</si>
  <si>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</si>
  <si>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</si>
  <si>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</si>
  <si>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</si>
  <si>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</si>
  <si>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</si>
  <si>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</si>
  <si>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</si>
  <si>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</si>
  <si>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</si>
  <si>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</si>
  <si>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</si>
  <si>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</si>
  <si>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</si>
  <si>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</si>
  <si>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</si>
  <si>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</si>
  <si>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</si>
  <si>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</si>
  <si>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</si>
  <si>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</si>
  <si>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</si>
  <si>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</si>
  <si>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</si>
  <si>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</si>
  <si>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</si>
  <si>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</si>
  <si>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</si>
  <si>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</si>
  <si>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</si>
  <si>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</si>
  <si>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</si>
  <si>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</si>
  <si>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</si>
  <si>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</si>
  <si>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</si>
  <si>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</si>
  <si>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</si>
  <si>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</si>
  <si>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</si>
  <si>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</si>
  <si>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</si>
  <si>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</si>
  <si>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</si>
  <si>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</si>
  <si>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</si>
  <si>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</si>
  <si>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</si>
  <si>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</si>
  <si>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</si>
  <si>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</si>
  <si>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</si>
  <si>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</si>
  <si>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</si>
  <si>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</si>
  <si>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</si>
  <si>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</si>
  <si>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</si>
  <si>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</si>
  <si>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</si>
  <si>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</si>
  <si>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</si>
  <si>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</si>
  <si>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</si>
  <si>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</si>
  <si>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</si>
  <si>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</si>
  <si>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</si>
  <si>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</si>
  <si>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</si>
  <si>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</si>
  <si>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</si>
  <si>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</si>
  <si>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</si>
  <si>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</si>
  <si>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</si>
  <si>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</si>
  <si>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</si>
  <si>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</si>
  <si>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</si>
  <si>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</si>
  <si>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</si>
  <si>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</si>
  <si>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</si>
  <si>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</si>
  <si>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</si>
  <si>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</si>
  <si>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</si>
  <si>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</si>
  <si>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</si>
  <si>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</si>
  <si>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</si>
  <si>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</si>
  <si>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</si>
  <si>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</si>
  <si>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</si>
  <si>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</si>
  <si>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</si>
  <si>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</si>
  <si>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</si>
  <si>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</si>
  <si>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</si>
  <si>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</si>
  <si>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</si>
  <si>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</si>
  <si>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</si>
  <si>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</si>
  <si>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</si>
  <si>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</si>
  <si>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</si>
  <si>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</si>
  <si>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</si>
  <si>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</si>
  <si>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</si>
  <si>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</si>
  <si>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</si>
  <si>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</si>
  <si>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</si>
  <si>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</si>
  <si>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</si>
  <si>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</si>
  <si>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</si>
  <si>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</si>
  <si>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</si>
  <si>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</si>
  <si>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</si>
  <si>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</si>
  <si>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</si>
  <si>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</si>
  <si>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</si>
  <si>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</si>
  <si>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</si>
  <si>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</si>
  <si>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</si>
  <si>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</si>
  <si>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</si>
  <si>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</si>
  <si>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</si>
  <si>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</si>
  <si>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</si>
  <si>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</si>
  <si>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</si>
  <si>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</si>
  <si>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</si>
  <si>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</si>
  <si>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</si>
  <si>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</si>
  <si>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</si>
  <si>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</si>
  <si>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</si>
  <si>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</si>
  <si>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</si>
  <si>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</si>
  <si>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</si>
  <si>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</si>
  <si>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</si>
  <si>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</si>
  <si>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</si>
  <si>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</si>
  <si>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</si>
  <si>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</si>
  <si>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</si>
  <si>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</si>
  <si>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</si>
  <si>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</si>
  <si>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</si>
  <si>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</si>
  <si>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</si>
  <si>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</si>
  <si>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</si>
  <si>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</si>
  <si>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</si>
  <si>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</si>
  <si>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</si>
  <si>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</si>
  <si>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</si>
  <si>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</si>
  <si>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</si>
  <si>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34022</t>
  </si>
  <si>
    <t>KORTRIJK</t>
  </si>
  <si>
    <t>Paarden&amp;pony's 200 - 600 kg</t>
  </si>
  <si>
    <t>Paarden&amp;pony's &lt; 200 kg</t>
  </si>
  <si>
    <t>Fluvius</t>
  </si>
  <si>
    <t xml:space="preserve">Bron: </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</si>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</sst>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34022</v>
      </c>
      <c r="B6" s="386"/>
      <c r="C6" s="387"/>
    </row>
    <row r="7" spans="1:7" s="384" customFormat="1" ht="15.75" customHeight="1">
      <c r="A7" s="388" t="str">
        <f>txtMunicipality</f>
        <v>KORTRIJK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186723.38465137099</v>
      </c>
      <c r="D10" s="676">
        <f ca="1">tertiair!C16</f>
        <v>916.07142857142856</v>
      </c>
      <c r="E10" s="676">
        <f ca="1">tertiair!D16</f>
        <v>205244.52783226015</v>
      </c>
      <c r="F10" s="676">
        <f>tertiair!E16</f>
        <v>3268.9261229168756</v>
      </c>
      <c r="G10" s="676">
        <f ca="1">tertiair!F16</f>
        <v>37440.289980143112</v>
      </c>
      <c r="H10" s="676">
        <f>tertiair!G16</f>
        <v>0</v>
      </c>
      <c r="I10" s="676">
        <f>tertiair!H16</f>
        <v>0</v>
      </c>
      <c r="J10" s="676">
        <f>tertiair!I16</f>
        <v>0</v>
      </c>
      <c r="K10" s="676">
        <f>tertiair!J16</f>
        <v>0</v>
      </c>
      <c r="L10" s="676">
        <f>tertiair!K16</f>
        <v>0</v>
      </c>
      <c r="M10" s="676">
        <f ca="1">tertiair!L16</f>
        <v>0</v>
      </c>
      <c r="N10" s="676">
        <f>tertiair!M16</f>
        <v>0</v>
      </c>
      <c r="O10" s="676">
        <f ca="1">tertiair!N16</f>
        <v>5196.3006599558239</v>
      </c>
      <c r="P10" s="676">
        <f>tertiair!O16</f>
        <v>9.3800000000000008</v>
      </c>
      <c r="Q10" s="677">
        <f>tertiair!P16</f>
        <v>114.4</v>
      </c>
      <c r="R10" s="679">
        <f ca="1">SUM(C10:Q10)</f>
        <v>438913.28067521838</v>
      </c>
      <c r="S10" s="67"/>
    </row>
    <row r="11" spans="1:19" s="445" customFormat="1">
      <c r="A11" s="791" t="s">
        <v>220</v>
      </c>
      <c r="B11" s="796"/>
      <c r="C11" s="676">
        <f>huishoudens!B8</f>
        <v>123225.06334666295</v>
      </c>
      <c r="D11" s="676">
        <f>huishoudens!C8</f>
        <v>0</v>
      </c>
      <c r="E11" s="676">
        <f>huishoudens!D8</f>
        <v>320805.43016358261</v>
      </c>
      <c r="F11" s="676">
        <f>huishoudens!E8</f>
        <v>4769.4411081512908</v>
      </c>
      <c r="G11" s="676">
        <f>huishoudens!F8</f>
        <v>162801.98977438995</v>
      </c>
      <c r="H11" s="676">
        <f>huishoudens!G8</f>
        <v>0</v>
      </c>
      <c r="I11" s="676">
        <f>huishoudens!H8</f>
        <v>0</v>
      </c>
      <c r="J11" s="676">
        <f>huishoudens!I8</f>
        <v>0</v>
      </c>
      <c r="K11" s="676">
        <f>huishoudens!J8</f>
        <v>3665.888059921223</v>
      </c>
      <c r="L11" s="676">
        <f>huishoudens!K8</f>
        <v>0</v>
      </c>
      <c r="M11" s="676">
        <f>huishoudens!L8</f>
        <v>0</v>
      </c>
      <c r="N11" s="676">
        <f>huishoudens!M8</f>
        <v>0</v>
      </c>
      <c r="O11" s="676">
        <f>huishoudens!N8</f>
        <v>37927.625168483937</v>
      </c>
      <c r="P11" s="676">
        <f>huishoudens!O8</f>
        <v>273.58333333333331</v>
      </c>
      <c r="Q11" s="677">
        <f>huishoudens!P8</f>
        <v>286</v>
      </c>
      <c r="R11" s="679">
        <f>SUM(C11:Q11)</f>
        <v>653755.02095452533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116427.08738893957</v>
      </c>
      <c r="D13" s="676">
        <f>industrie!C18</f>
        <v>0</v>
      </c>
      <c r="E13" s="676">
        <f>industrie!D18</f>
        <v>209295.371978682</v>
      </c>
      <c r="F13" s="676">
        <f>industrie!E18</f>
        <v>1396.8327364773061</v>
      </c>
      <c r="G13" s="676">
        <f>industrie!F18</f>
        <v>31643.26540644381</v>
      </c>
      <c r="H13" s="676">
        <f>industrie!G18</f>
        <v>0</v>
      </c>
      <c r="I13" s="676">
        <f>industrie!H18</f>
        <v>0</v>
      </c>
      <c r="J13" s="676">
        <f>industrie!I18</f>
        <v>0</v>
      </c>
      <c r="K13" s="676">
        <f>industrie!J18</f>
        <v>645.30662320852537</v>
      </c>
      <c r="L13" s="676">
        <f>industrie!K18</f>
        <v>0</v>
      </c>
      <c r="M13" s="676">
        <f>industrie!L18</f>
        <v>0</v>
      </c>
      <c r="N13" s="676">
        <f>industrie!M18</f>
        <v>0</v>
      </c>
      <c r="O13" s="676">
        <f>industrie!N18</f>
        <v>2657.1696108623719</v>
      </c>
      <c r="P13" s="676">
        <f>industrie!O18</f>
        <v>0</v>
      </c>
      <c r="Q13" s="677">
        <f>industrie!P18</f>
        <v>0</v>
      </c>
      <c r="R13" s="679">
        <f>SUM(C13:Q13)</f>
        <v>362065.03374461358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426375.53538697353</v>
      </c>
      <c r="D16" s="709">
        <f t="shared" ref="D16:R16" ca="1" si="0">SUM(D9:D15)</f>
        <v>916.07142857142856</v>
      </c>
      <c r="E16" s="709">
        <f t="shared" ca="1" si="0"/>
        <v>735345.32997452479</v>
      </c>
      <c r="F16" s="709">
        <f t="shared" si="0"/>
        <v>9435.1999675454736</v>
      </c>
      <c r="G16" s="709">
        <f t="shared" ca="1" si="0"/>
        <v>231885.54516097688</v>
      </c>
      <c r="H16" s="709">
        <f t="shared" si="0"/>
        <v>0</v>
      </c>
      <c r="I16" s="709">
        <f t="shared" si="0"/>
        <v>0</v>
      </c>
      <c r="J16" s="709">
        <f t="shared" si="0"/>
        <v>0</v>
      </c>
      <c r="K16" s="709">
        <f t="shared" si="0"/>
        <v>4311.1946831297482</v>
      </c>
      <c r="L16" s="709">
        <f t="shared" si="0"/>
        <v>0</v>
      </c>
      <c r="M16" s="709">
        <f t="shared" ca="1" si="0"/>
        <v>0</v>
      </c>
      <c r="N16" s="709">
        <f t="shared" si="0"/>
        <v>0</v>
      </c>
      <c r="O16" s="709">
        <f t="shared" ca="1" si="0"/>
        <v>45781.095439302131</v>
      </c>
      <c r="P16" s="709">
        <f t="shared" si="0"/>
        <v>282.96333333333331</v>
      </c>
      <c r="Q16" s="709">
        <f t="shared" si="0"/>
        <v>400.4</v>
      </c>
      <c r="R16" s="709">
        <f t="shared" ca="1" si="0"/>
        <v>1454733.3353743574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54.647585087881389</v>
      </c>
      <c r="D19" s="676">
        <f>transport!C54</f>
        <v>0</v>
      </c>
      <c r="E19" s="676">
        <f>transport!D54</f>
        <v>0</v>
      </c>
      <c r="F19" s="676">
        <f>transport!E54</f>
        <v>0</v>
      </c>
      <c r="G19" s="676">
        <f>transport!F54</f>
        <v>0</v>
      </c>
      <c r="H19" s="676">
        <f>transport!G54</f>
        <v>11855.244930802184</v>
      </c>
      <c r="I19" s="676">
        <f>transport!H54</f>
        <v>0</v>
      </c>
      <c r="J19" s="676">
        <f>transport!I54</f>
        <v>0</v>
      </c>
      <c r="K19" s="676">
        <f>transport!J54</f>
        <v>0</v>
      </c>
      <c r="L19" s="676">
        <f>transport!K54</f>
        <v>0</v>
      </c>
      <c r="M19" s="676">
        <f>transport!L54</f>
        <v>0</v>
      </c>
      <c r="N19" s="676">
        <f>transport!M54</f>
        <v>507.59604898888551</v>
      </c>
      <c r="O19" s="676">
        <f>transport!N54</f>
        <v>0</v>
      </c>
      <c r="P19" s="676">
        <f>transport!O54</f>
        <v>0</v>
      </c>
      <c r="Q19" s="677">
        <f>transport!P54</f>
        <v>0</v>
      </c>
      <c r="R19" s="679">
        <f>SUM(C19:Q19)</f>
        <v>12417.488564878951</v>
      </c>
      <c r="S19" s="67"/>
    </row>
    <row r="20" spans="1:19" s="445" customFormat="1">
      <c r="A20" s="791" t="s">
        <v>302</v>
      </c>
      <c r="B20" s="796"/>
      <c r="C20" s="676">
        <f>transport!B14</f>
        <v>6.7378595900775995</v>
      </c>
      <c r="D20" s="676">
        <f>transport!C14</f>
        <v>0</v>
      </c>
      <c r="E20" s="676">
        <f>transport!D14</f>
        <v>21.418185764442917</v>
      </c>
      <c r="F20" s="676">
        <f>transport!E14</f>
        <v>2403.868341258803</v>
      </c>
      <c r="G20" s="676">
        <f>transport!F14</f>
        <v>0</v>
      </c>
      <c r="H20" s="676">
        <f>transport!G14</f>
        <v>574473.58180607751</v>
      </c>
      <c r="I20" s="676">
        <f>transport!H14</f>
        <v>72210.803700083881</v>
      </c>
      <c r="J20" s="676">
        <f>transport!I14</f>
        <v>0</v>
      </c>
      <c r="K20" s="676">
        <f>transport!J14</f>
        <v>0</v>
      </c>
      <c r="L20" s="676">
        <f>transport!K14</f>
        <v>0</v>
      </c>
      <c r="M20" s="676">
        <f>transport!L14</f>
        <v>0</v>
      </c>
      <c r="N20" s="676">
        <f>transport!M14</f>
        <v>28071.354717677852</v>
      </c>
      <c r="O20" s="676">
        <f>transport!N14</f>
        <v>0</v>
      </c>
      <c r="P20" s="676">
        <f>transport!O14</f>
        <v>0</v>
      </c>
      <c r="Q20" s="677">
        <f>transport!P14</f>
        <v>0</v>
      </c>
      <c r="R20" s="679">
        <f>SUM(C20:Q20)</f>
        <v>677187.76461045246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61.385444677958986</v>
      </c>
      <c r="D22" s="794">
        <f t="shared" ref="D22:R22" si="1">SUM(D18:D21)</f>
        <v>0</v>
      </c>
      <c r="E22" s="794">
        <f t="shared" si="1"/>
        <v>21.418185764442917</v>
      </c>
      <c r="F22" s="794">
        <f t="shared" si="1"/>
        <v>2403.868341258803</v>
      </c>
      <c r="G22" s="794">
        <f t="shared" si="1"/>
        <v>0</v>
      </c>
      <c r="H22" s="794">
        <f t="shared" si="1"/>
        <v>586328.82673687965</v>
      </c>
      <c r="I22" s="794">
        <f t="shared" si="1"/>
        <v>72210.803700083881</v>
      </c>
      <c r="J22" s="794">
        <f t="shared" si="1"/>
        <v>0</v>
      </c>
      <c r="K22" s="794">
        <f t="shared" si="1"/>
        <v>0</v>
      </c>
      <c r="L22" s="794">
        <f t="shared" si="1"/>
        <v>0</v>
      </c>
      <c r="M22" s="794">
        <f t="shared" si="1"/>
        <v>0</v>
      </c>
      <c r="N22" s="794">
        <f t="shared" si="1"/>
        <v>28578.950766666738</v>
      </c>
      <c r="O22" s="794">
        <f t="shared" si="1"/>
        <v>0</v>
      </c>
      <c r="P22" s="794">
        <f t="shared" si="1"/>
        <v>0</v>
      </c>
      <c r="Q22" s="794">
        <f t="shared" si="1"/>
        <v>0</v>
      </c>
      <c r="R22" s="794">
        <f t="shared" si="1"/>
        <v>689605.2531753314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2482.3914326814261</v>
      </c>
      <c r="D24" s="676">
        <f>+landbouw!C8</f>
        <v>0</v>
      </c>
      <c r="E24" s="676">
        <f>+landbouw!D8</f>
        <v>781.6175800884314</v>
      </c>
      <c r="F24" s="676">
        <f>+landbouw!E8</f>
        <v>25.996140498869377</v>
      </c>
      <c r="G24" s="676">
        <f>+landbouw!F8</f>
        <v>10626.521548771909</v>
      </c>
      <c r="H24" s="676">
        <f>+landbouw!G8</f>
        <v>0</v>
      </c>
      <c r="I24" s="676">
        <f>+landbouw!H8</f>
        <v>0</v>
      </c>
      <c r="J24" s="676">
        <f>+landbouw!I8</f>
        <v>0</v>
      </c>
      <c r="K24" s="676">
        <f>+landbouw!J8</f>
        <v>221.69980499244085</v>
      </c>
      <c r="L24" s="676">
        <f>+landbouw!K8</f>
        <v>0</v>
      </c>
      <c r="M24" s="676">
        <f>+landbouw!L8</f>
        <v>0</v>
      </c>
      <c r="N24" s="676">
        <f>+landbouw!M8</f>
        <v>0</v>
      </c>
      <c r="O24" s="676">
        <f>+landbouw!N8</f>
        <v>0</v>
      </c>
      <c r="P24" s="676">
        <f>+landbouw!O8</f>
        <v>0</v>
      </c>
      <c r="Q24" s="677">
        <f>+landbouw!P8</f>
        <v>0</v>
      </c>
      <c r="R24" s="679">
        <f>SUM(C24:Q24)</f>
        <v>14138.226507033076</v>
      </c>
      <c r="S24" s="67"/>
    </row>
    <row r="25" spans="1:19" s="445" customFormat="1" ht="15" thickBot="1">
      <c r="A25" s="813" t="s">
        <v>895</v>
      </c>
      <c r="B25" s="968"/>
      <c r="C25" s="969">
        <f>IF(Onbekend_ele_kWh="---",0,Onbekend_ele_kWh)/1000+IF(REST_rest_ele_kWh="---",0,REST_rest_ele_kWh)/1000</f>
        <v>11177.698225448299</v>
      </c>
      <c r="D25" s="969"/>
      <c r="E25" s="969">
        <f>IF(onbekend_gas_kWh="---",0,onbekend_gas_kWh)/1000+IF(REST_rest_gas_kWh="---",0,REST_rest_gas_kWh)/1000</f>
        <v>36690.4372092263</v>
      </c>
      <c r="F25" s="969"/>
      <c r="G25" s="969"/>
      <c r="H25" s="969"/>
      <c r="I25" s="969"/>
      <c r="J25" s="969"/>
      <c r="K25" s="969"/>
      <c r="L25" s="969"/>
      <c r="M25" s="969"/>
      <c r="N25" s="969"/>
      <c r="O25" s="969"/>
      <c r="P25" s="969"/>
      <c r="Q25" s="970"/>
      <c r="R25" s="679">
        <f>SUM(C25:Q25)</f>
        <v>47868.135434674601</v>
      </c>
      <c r="S25" s="67"/>
    </row>
    <row r="26" spans="1:19" s="445" customFormat="1" ht="15.75" thickBot="1">
      <c r="A26" s="682" t="s">
        <v>896</v>
      </c>
      <c r="B26" s="799"/>
      <c r="C26" s="794">
        <f>SUM(C24:C25)</f>
        <v>13660.089658129726</v>
      </c>
      <c r="D26" s="794">
        <f t="shared" ref="D26:R26" si="2">SUM(D24:D25)</f>
        <v>0</v>
      </c>
      <c r="E26" s="794">
        <f t="shared" si="2"/>
        <v>37472.05478931473</v>
      </c>
      <c r="F26" s="794">
        <f t="shared" si="2"/>
        <v>25.996140498869377</v>
      </c>
      <c r="G26" s="794">
        <f t="shared" si="2"/>
        <v>10626.521548771909</v>
      </c>
      <c r="H26" s="794">
        <f t="shared" si="2"/>
        <v>0</v>
      </c>
      <c r="I26" s="794">
        <f t="shared" si="2"/>
        <v>0</v>
      </c>
      <c r="J26" s="794">
        <f t="shared" si="2"/>
        <v>0</v>
      </c>
      <c r="K26" s="794">
        <f t="shared" si="2"/>
        <v>221.69980499244085</v>
      </c>
      <c r="L26" s="794">
        <f t="shared" si="2"/>
        <v>0</v>
      </c>
      <c r="M26" s="794">
        <f t="shared" si="2"/>
        <v>0</v>
      </c>
      <c r="N26" s="794">
        <f t="shared" si="2"/>
        <v>0</v>
      </c>
      <c r="O26" s="794">
        <f t="shared" si="2"/>
        <v>0</v>
      </c>
      <c r="P26" s="794">
        <f t="shared" si="2"/>
        <v>0</v>
      </c>
      <c r="Q26" s="794">
        <f t="shared" si="2"/>
        <v>0</v>
      </c>
      <c r="R26" s="794">
        <f t="shared" si="2"/>
        <v>62006.361941707677</v>
      </c>
      <c r="S26" s="67"/>
    </row>
    <row r="27" spans="1:19" s="445" customFormat="1" ht="17.25" thickTop="1" thickBot="1">
      <c r="A27" s="683" t="s">
        <v>115</v>
      </c>
      <c r="B27" s="786"/>
      <c r="C27" s="684">
        <f ca="1">C22+C16+C26</f>
        <v>440097.01048978121</v>
      </c>
      <c r="D27" s="684">
        <f t="shared" ref="D27:R27" ca="1" si="3">D22+D16+D26</f>
        <v>916.07142857142856</v>
      </c>
      <c r="E27" s="684">
        <f t="shared" ca="1" si="3"/>
        <v>772838.802949604</v>
      </c>
      <c r="F27" s="684">
        <f t="shared" si="3"/>
        <v>11865.064449303147</v>
      </c>
      <c r="G27" s="684">
        <f t="shared" ca="1" si="3"/>
        <v>242512.06670974879</v>
      </c>
      <c r="H27" s="684">
        <f t="shared" si="3"/>
        <v>586328.82673687965</v>
      </c>
      <c r="I27" s="684">
        <f t="shared" si="3"/>
        <v>72210.803700083881</v>
      </c>
      <c r="J27" s="684">
        <f t="shared" si="3"/>
        <v>0</v>
      </c>
      <c r="K27" s="684">
        <f t="shared" si="3"/>
        <v>4532.8944881221887</v>
      </c>
      <c r="L27" s="684">
        <f t="shared" si="3"/>
        <v>0</v>
      </c>
      <c r="M27" s="684">
        <f t="shared" ca="1" si="3"/>
        <v>0</v>
      </c>
      <c r="N27" s="684">
        <f t="shared" si="3"/>
        <v>28578.950766666738</v>
      </c>
      <c r="O27" s="684">
        <f t="shared" ca="1" si="3"/>
        <v>45781.095439302131</v>
      </c>
      <c r="P27" s="684">
        <f t="shared" si="3"/>
        <v>282.96333333333331</v>
      </c>
      <c r="Q27" s="684">
        <f t="shared" si="3"/>
        <v>400.4</v>
      </c>
      <c r="R27" s="684">
        <f t="shared" ca="1" si="3"/>
        <v>2206344.9504913967</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39503.464945792526</v>
      </c>
      <c r="D40" s="676">
        <f ca="1">tertiair!C20</f>
        <v>217.70168067226894</v>
      </c>
      <c r="E40" s="676">
        <f ca="1">tertiair!D20</f>
        <v>41459.394622116553</v>
      </c>
      <c r="F40" s="676">
        <f>tertiair!E20</f>
        <v>742.04622990213079</v>
      </c>
      <c r="G40" s="676">
        <f ca="1">tertiair!F20</f>
        <v>9996.5574246982123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91919.164903181692</v>
      </c>
    </row>
    <row r="41" spans="1:18">
      <c r="A41" s="804" t="s">
        <v>220</v>
      </c>
      <c r="B41" s="811"/>
      <c r="C41" s="676">
        <f ca="1">huishoudens!B12</f>
        <v>26069.669738723976</v>
      </c>
      <c r="D41" s="676">
        <f ca="1">huishoudens!C12</f>
        <v>0</v>
      </c>
      <c r="E41" s="676">
        <f>huishoudens!D12</f>
        <v>64802.696893043692</v>
      </c>
      <c r="F41" s="676">
        <f>huishoudens!E12</f>
        <v>1082.663131550343</v>
      </c>
      <c r="G41" s="676">
        <f>huishoudens!F12</f>
        <v>43468.131269762118</v>
      </c>
      <c r="H41" s="676">
        <f>huishoudens!G12</f>
        <v>0</v>
      </c>
      <c r="I41" s="676">
        <f>huishoudens!H12</f>
        <v>0</v>
      </c>
      <c r="J41" s="676">
        <f>huishoudens!I12</f>
        <v>0</v>
      </c>
      <c r="K41" s="676">
        <f>huishoudens!J12</f>
        <v>1297.7243732121128</v>
      </c>
      <c r="L41" s="676">
        <f>huishoudens!K12</f>
        <v>0</v>
      </c>
      <c r="M41" s="676">
        <f>huishoudens!L12</f>
        <v>0</v>
      </c>
      <c r="N41" s="676">
        <f>huishoudens!M12</f>
        <v>0</v>
      </c>
      <c r="O41" s="676">
        <f>huishoudens!N12</f>
        <v>0</v>
      </c>
      <c r="P41" s="676">
        <f>huishoudens!O12</f>
        <v>0</v>
      </c>
      <c r="Q41" s="751">
        <f>huishoudens!P12</f>
        <v>0</v>
      </c>
      <c r="R41" s="832">
        <f t="shared" ca="1" si="4"/>
        <v>136720.88540629225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24631.480272259127</v>
      </c>
      <c r="D43" s="676">
        <f ca="1">industrie!C22</f>
        <v>0</v>
      </c>
      <c r="E43" s="676">
        <f>industrie!D22</f>
        <v>42277.665139693767</v>
      </c>
      <c r="F43" s="676">
        <f>industrie!E22</f>
        <v>317.08103118034848</v>
      </c>
      <c r="G43" s="676">
        <f>industrie!F22</f>
        <v>8448.7518635204979</v>
      </c>
      <c r="H43" s="676">
        <f>industrie!G22</f>
        <v>0</v>
      </c>
      <c r="I43" s="676">
        <f>industrie!H22</f>
        <v>0</v>
      </c>
      <c r="J43" s="676">
        <f>industrie!I22</f>
        <v>0</v>
      </c>
      <c r="K43" s="676">
        <f>industrie!J22</f>
        <v>228.43854461581796</v>
      </c>
      <c r="L43" s="676">
        <f>industrie!K22</f>
        <v>0</v>
      </c>
      <c r="M43" s="676">
        <f>industrie!L22</f>
        <v>0</v>
      </c>
      <c r="N43" s="676">
        <f>industrie!M22</f>
        <v>0</v>
      </c>
      <c r="O43" s="676">
        <f>industrie!N22</f>
        <v>0</v>
      </c>
      <c r="P43" s="676">
        <f>industrie!O22</f>
        <v>0</v>
      </c>
      <c r="Q43" s="751">
        <f>industrie!P22</f>
        <v>0</v>
      </c>
      <c r="R43" s="831">
        <f t="shared" ca="1" si="4"/>
        <v>75903.416851269547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90204.614956775622</v>
      </c>
      <c r="D46" s="709">
        <f t="shared" ref="D46:Q46" ca="1" si="5">SUM(D39:D45)</f>
        <v>217.70168067226894</v>
      </c>
      <c r="E46" s="709">
        <f t="shared" ca="1" si="5"/>
        <v>148539.75665485402</v>
      </c>
      <c r="F46" s="709">
        <f t="shared" si="5"/>
        <v>2141.7903926328222</v>
      </c>
      <c r="G46" s="709">
        <f t="shared" ca="1" si="5"/>
        <v>61913.44055798083</v>
      </c>
      <c r="H46" s="709">
        <f t="shared" si="5"/>
        <v>0</v>
      </c>
      <c r="I46" s="709">
        <f t="shared" si="5"/>
        <v>0</v>
      </c>
      <c r="J46" s="709">
        <f t="shared" si="5"/>
        <v>0</v>
      </c>
      <c r="K46" s="709">
        <f t="shared" si="5"/>
        <v>1526.1629178279309</v>
      </c>
      <c r="L46" s="709">
        <f t="shared" si="5"/>
        <v>0</v>
      </c>
      <c r="M46" s="709">
        <f t="shared" ca="1" si="5"/>
        <v>0</v>
      </c>
      <c r="N46" s="709">
        <f t="shared" si="5"/>
        <v>0</v>
      </c>
      <c r="O46" s="709">
        <f t="shared" ca="1" si="5"/>
        <v>0</v>
      </c>
      <c r="P46" s="709">
        <f t="shared" si="5"/>
        <v>0</v>
      </c>
      <c r="Q46" s="709">
        <f t="shared" si="5"/>
        <v>0</v>
      </c>
      <c r="R46" s="709">
        <f ca="1">SUM(R39:R45)</f>
        <v>304543.46716074349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11.561320859312552</v>
      </c>
      <c r="D49" s="676">
        <f ca="1">transport!C58</f>
        <v>0</v>
      </c>
      <c r="E49" s="676">
        <f>transport!D58</f>
        <v>0</v>
      </c>
      <c r="F49" s="676">
        <f>transport!E58</f>
        <v>0</v>
      </c>
      <c r="G49" s="676">
        <f>transport!F58</f>
        <v>0</v>
      </c>
      <c r="H49" s="676">
        <f>transport!G58</f>
        <v>3165.3503965241835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3176.9117173834961</v>
      </c>
    </row>
    <row r="50" spans="1:18">
      <c r="A50" s="807" t="s">
        <v>302</v>
      </c>
      <c r="B50" s="817"/>
      <c r="C50" s="975">
        <f ca="1">transport!B18</f>
        <v>1.4254711621860487</v>
      </c>
      <c r="D50" s="975">
        <f>transport!C18</f>
        <v>0</v>
      </c>
      <c r="E50" s="975">
        <f>transport!D18</f>
        <v>4.3264735244174695</v>
      </c>
      <c r="F50" s="975">
        <f>transport!E18</f>
        <v>545.67811346574831</v>
      </c>
      <c r="G50" s="975">
        <f>transport!F18</f>
        <v>0</v>
      </c>
      <c r="H50" s="975">
        <f>transport!G18</f>
        <v>153384.44634222271</v>
      </c>
      <c r="I50" s="975">
        <f>transport!H18</f>
        <v>17980.490121320887</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171916.36652169595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12.986792021498601</v>
      </c>
      <c r="D52" s="709">
        <f t="shared" ref="D52:Q52" ca="1" si="6">SUM(D48:D51)</f>
        <v>0</v>
      </c>
      <c r="E52" s="709">
        <f t="shared" si="6"/>
        <v>4.3264735244174695</v>
      </c>
      <c r="F52" s="709">
        <f t="shared" si="6"/>
        <v>545.67811346574831</v>
      </c>
      <c r="G52" s="709">
        <f t="shared" si="6"/>
        <v>0</v>
      </c>
      <c r="H52" s="709">
        <f t="shared" si="6"/>
        <v>156549.7967387469</v>
      </c>
      <c r="I52" s="709">
        <f t="shared" si="6"/>
        <v>17980.490121320887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175093.27823907943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525.17826369610202</v>
      </c>
      <c r="D54" s="975">
        <f ca="1">+landbouw!C12</f>
        <v>0</v>
      </c>
      <c r="E54" s="975">
        <f>+landbouw!D12</f>
        <v>157.88675117786315</v>
      </c>
      <c r="F54" s="975">
        <f>+landbouw!E12</f>
        <v>5.9011238932433487</v>
      </c>
      <c r="G54" s="975">
        <f>+landbouw!F12</f>
        <v>2837.2812535220996</v>
      </c>
      <c r="H54" s="975">
        <f>+landbouw!G12</f>
        <v>0</v>
      </c>
      <c r="I54" s="975">
        <f>+landbouw!H12</f>
        <v>0</v>
      </c>
      <c r="J54" s="975">
        <f>+landbouw!I12</f>
        <v>0</v>
      </c>
      <c r="K54" s="975">
        <f>+landbouw!J12</f>
        <v>78.481730967324054</v>
      </c>
      <c r="L54" s="975">
        <f>+landbouw!K12</f>
        <v>0</v>
      </c>
      <c r="M54" s="975">
        <f>+landbouw!L12</f>
        <v>0</v>
      </c>
      <c r="N54" s="975">
        <f>+landbouw!M12</f>
        <v>0</v>
      </c>
      <c r="O54" s="975">
        <f>+landbouw!N12</f>
        <v>0</v>
      </c>
      <c r="P54" s="975">
        <f>+landbouw!O12</f>
        <v>0</v>
      </c>
      <c r="Q54" s="976">
        <f>+landbouw!P12</f>
        <v>0</v>
      </c>
      <c r="R54" s="708">
        <f ca="1">SUM(C54:Q54)</f>
        <v>3604.7291232566322</v>
      </c>
    </row>
    <row r="55" spans="1:18" ht="15" thickBot="1">
      <c r="A55" s="807" t="s">
        <v>895</v>
      </c>
      <c r="B55" s="817"/>
      <c r="C55" s="975">
        <f ca="1">C25*'EF ele_warmte'!B12</f>
        <v>2364.7697413372807</v>
      </c>
      <c r="D55" s="975"/>
      <c r="E55" s="975">
        <f>E25*EF_CO2_aardgas</f>
        <v>7411.4683162637129</v>
      </c>
      <c r="F55" s="975"/>
      <c r="G55" s="975"/>
      <c r="H55" s="975"/>
      <c r="I55" s="975"/>
      <c r="J55" s="975"/>
      <c r="K55" s="975"/>
      <c r="L55" s="975"/>
      <c r="M55" s="975"/>
      <c r="N55" s="975"/>
      <c r="O55" s="975"/>
      <c r="P55" s="975"/>
      <c r="Q55" s="976"/>
      <c r="R55" s="708">
        <f ca="1">SUM(C55:Q55)</f>
        <v>9776.2380576009928</v>
      </c>
    </row>
    <row r="56" spans="1:18" ht="15.75" thickBot="1">
      <c r="A56" s="805" t="s">
        <v>896</v>
      </c>
      <c r="B56" s="818"/>
      <c r="C56" s="709">
        <f ca="1">SUM(C54:C55)</f>
        <v>2889.9480050333827</v>
      </c>
      <c r="D56" s="709">
        <f t="shared" ref="D56:Q56" ca="1" si="7">SUM(D54:D55)</f>
        <v>0</v>
      </c>
      <c r="E56" s="709">
        <f t="shared" si="7"/>
        <v>7569.3550674415765</v>
      </c>
      <c r="F56" s="709">
        <f t="shared" si="7"/>
        <v>5.9011238932433487</v>
      </c>
      <c r="G56" s="709">
        <f t="shared" si="7"/>
        <v>2837.2812535220996</v>
      </c>
      <c r="H56" s="709">
        <f t="shared" si="7"/>
        <v>0</v>
      </c>
      <c r="I56" s="709">
        <f t="shared" si="7"/>
        <v>0</v>
      </c>
      <c r="J56" s="709">
        <f t="shared" si="7"/>
        <v>0</v>
      </c>
      <c r="K56" s="709">
        <f t="shared" si="7"/>
        <v>78.481730967324054</v>
      </c>
      <c r="L56" s="709">
        <f t="shared" si="7"/>
        <v>0</v>
      </c>
      <c r="M56" s="709">
        <f t="shared" si="7"/>
        <v>0</v>
      </c>
      <c r="N56" s="709">
        <f t="shared" si="7"/>
        <v>0</v>
      </c>
      <c r="O56" s="709">
        <f t="shared" si="7"/>
        <v>0</v>
      </c>
      <c r="P56" s="709">
        <f t="shared" si="7"/>
        <v>0</v>
      </c>
      <c r="Q56" s="710">
        <f t="shared" si="7"/>
        <v>0</v>
      </c>
      <c r="R56" s="711">
        <f ca="1">SUM(R54:R55)</f>
        <v>13380.967180857624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93107.549753830506</v>
      </c>
      <c r="D61" s="717">
        <f t="shared" ref="D61:Q61" ca="1" si="8">D46+D52+D56</f>
        <v>217.70168067226894</v>
      </c>
      <c r="E61" s="717">
        <f t="shared" ca="1" si="8"/>
        <v>156113.43819582002</v>
      </c>
      <c r="F61" s="717">
        <f t="shared" si="8"/>
        <v>2693.3696299918138</v>
      </c>
      <c r="G61" s="717">
        <f t="shared" ca="1" si="8"/>
        <v>64750.721811502932</v>
      </c>
      <c r="H61" s="717">
        <f t="shared" si="8"/>
        <v>156549.7967387469</v>
      </c>
      <c r="I61" s="717">
        <f t="shared" si="8"/>
        <v>17980.490121320887</v>
      </c>
      <c r="J61" s="717">
        <f t="shared" si="8"/>
        <v>0</v>
      </c>
      <c r="K61" s="717">
        <f t="shared" si="8"/>
        <v>1604.6446487952549</v>
      </c>
      <c r="L61" s="717">
        <f t="shared" si="8"/>
        <v>0</v>
      </c>
      <c r="M61" s="717">
        <f t="shared" ca="1" si="8"/>
        <v>0</v>
      </c>
      <c r="N61" s="717">
        <f t="shared" si="8"/>
        <v>0</v>
      </c>
      <c r="O61" s="717">
        <f t="shared" ca="1" si="8"/>
        <v>0</v>
      </c>
      <c r="P61" s="717">
        <f t="shared" si="8"/>
        <v>0</v>
      </c>
      <c r="Q61" s="717">
        <f t="shared" si="8"/>
        <v>0</v>
      </c>
      <c r="R61" s="717">
        <f ca="1">R46+R52+R56</f>
        <v>493017.71258068056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0.21156142290130919</v>
      </c>
      <c r="D63" s="761">
        <f t="shared" ca="1" si="9"/>
        <v>0.23764705882352943</v>
      </c>
      <c r="E63" s="977">
        <f t="shared" ca="1" si="9"/>
        <v>0.20200000000000001</v>
      </c>
      <c r="F63" s="761">
        <f t="shared" si="9"/>
        <v>0.22699999999999995</v>
      </c>
      <c r="G63" s="761">
        <f t="shared" ca="1" si="9"/>
        <v>0.26700000000000002</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9911.2119547937709</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8932.9712618656122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641.25</v>
      </c>
      <c r="D76" s="987">
        <f>'lokale energieproductie'!C8</f>
        <v>754.41176470588255</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152.39117647058828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18844.183216659381</v>
      </c>
      <c r="C78" s="732">
        <f>SUM(C72:C77)</f>
        <v>641.25</v>
      </c>
      <c r="D78" s="733">
        <f t="shared" ref="D78:H78" si="10">SUM(D76:D77)</f>
        <v>754.41176470588255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152.39117647058828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916.07142857142856</v>
      </c>
      <c r="D87" s="754">
        <f>'lokale energieproductie'!C17</f>
        <v>1077.7310924369749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217.70168067226894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916.07142857142856</v>
      </c>
      <c r="D90" s="732">
        <f t="shared" ref="D90:H90" si="12">SUM(D87:D89)</f>
        <v>1077.7310924369749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217.70168067226894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123225.06334666295</v>
      </c>
      <c r="C4" s="449">
        <f>huishoudens!C8</f>
        <v>0</v>
      </c>
      <c r="D4" s="449">
        <f>huishoudens!D8</f>
        <v>320805.43016358261</v>
      </c>
      <c r="E4" s="449">
        <f>huishoudens!E8</f>
        <v>4769.4411081512908</v>
      </c>
      <c r="F4" s="449">
        <f>huishoudens!F8</f>
        <v>162801.98977438995</v>
      </c>
      <c r="G4" s="449">
        <f>huishoudens!G8</f>
        <v>0</v>
      </c>
      <c r="H4" s="449">
        <f>huishoudens!H8</f>
        <v>0</v>
      </c>
      <c r="I4" s="449">
        <f>huishoudens!I8</f>
        <v>0</v>
      </c>
      <c r="J4" s="449">
        <f>huishoudens!J8</f>
        <v>3665.888059921223</v>
      </c>
      <c r="K4" s="449">
        <f>huishoudens!K8</f>
        <v>0</v>
      </c>
      <c r="L4" s="449">
        <f>huishoudens!L8</f>
        <v>0</v>
      </c>
      <c r="M4" s="449">
        <f>huishoudens!M8</f>
        <v>0</v>
      </c>
      <c r="N4" s="449">
        <f>huishoudens!N8</f>
        <v>37927.625168483937</v>
      </c>
      <c r="O4" s="449">
        <f>huishoudens!O8</f>
        <v>273.58333333333331</v>
      </c>
      <c r="P4" s="450">
        <f>huishoudens!P8</f>
        <v>286</v>
      </c>
      <c r="Q4" s="451">
        <f>SUM(B4:P4)</f>
        <v>653755.02095452533</v>
      </c>
    </row>
    <row r="5" spans="1:17">
      <c r="A5" s="448" t="s">
        <v>155</v>
      </c>
      <c r="B5" s="449">
        <f ca="1">tertiair!B16</f>
        <v>179853.12865137099</v>
      </c>
      <c r="C5" s="449">
        <f ca="1">tertiair!C16</f>
        <v>916.07142857142856</v>
      </c>
      <c r="D5" s="449">
        <f ca="1">tertiair!D16</f>
        <v>205244.52783226015</v>
      </c>
      <c r="E5" s="449">
        <f>tertiair!E16</f>
        <v>3268.9261229168756</v>
      </c>
      <c r="F5" s="449">
        <f ca="1">tertiair!F16</f>
        <v>37440.289980143112</v>
      </c>
      <c r="G5" s="449">
        <f>tertiair!G16</f>
        <v>0</v>
      </c>
      <c r="H5" s="449">
        <f>tertiair!H16</f>
        <v>0</v>
      </c>
      <c r="I5" s="449">
        <f>tertiair!I16</f>
        <v>0</v>
      </c>
      <c r="J5" s="449">
        <f>tertiair!J16</f>
        <v>0</v>
      </c>
      <c r="K5" s="449">
        <f>tertiair!K16</f>
        <v>0</v>
      </c>
      <c r="L5" s="449">
        <f ca="1">tertiair!L16</f>
        <v>0</v>
      </c>
      <c r="M5" s="449">
        <f>tertiair!M16</f>
        <v>0</v>
      </c>
      <c r="N5" s="449">
        <f ca="1">tertiair!N16</f>
        <v>5196.3006599558239</v>
      </c>
      <c r="O5" s="449">
        <f>tertiair!O16</f>
        <v>9.3800000000000008</v>
      </c>
      <c r="P5" s="450">
        <f>tertiair!P16</f>
        <v>114.4</v>
      </c>
      <c r="Q5" s="448">
        <f t="shared" ref="Q5:Q14" ca="1" si="0">SUM(B5:P5)</f>
        <v>432043.02467521845</v>
      </c>
    </row>
    <row r="6" spans="1:17">
      <c r="A6" s="448" t="s">
        <v>193</v>
      </c>
      <c r="B6" s="449">
        <f>'openbare verlichting'!B8</f>
        <v>6870.2560000000003</v>
      </c>
      <c r="C6" s="449"/>
      <c r="D6" s="449"/>
      <c r="E6" s="449"/>
      <c r="F6" s="449"/>
      <c r="G6" s="449"/>
      <c r="H6" s="449"/>
      <c r="I6" s="449"/>
      <c r="J6" s="449"/>
      <c r="K6" s="449"/>
      <c r="L6" s="449"/>
      <c r="M6" s="449"/>
      <c r="N6" s="449"/>
      <c r="O6" s="449"/>
      <c r="P6" s="450"/>
      <c r="Q6" s="448">
        <f t="shared" si="0"/>
        <v>6870.2560000000003</v>
      </c>
    </row>
    <row r="7" spans="1:17">
      <c r="A7" s="448" t="s">
        <v>111</v>
      </c>
      <c r="B7" s="449">
        <f>landbouw!B8</f>
        <v>2482.3914326814261</v>
      </c>
      <c r="C7" s="449">
        <f>landbouw!C8</f>
        <v>0</v>
      </c>
      <c r="D7" s="449">
        <f>landbouw!D8</f>
        <v>781.6175800884314</v>
      </c>
      <c r="E7" s="449">
        <f>landbouw!E8</f>
        <v>25.996140498869377</v>
      </c>
      <c r="F7" s="449">
        <f>landbouw!F8</f>
        <v>10626.521548771909</v>
      </c>
      <c r="G7" s="449">
        <f>landbouw!G8</f>
        <v>0</v>
      </c>
      <c r="H7" s="449">
        <f>landbouw!H8</f>
        <v>0</v>
      </c>
      <c r="I7" s="449">
        <f>landbouw!I8</f>
        <v>0</v>
      </c>
      <c r="J7" s="449">
        <f>landbouw!J8</f>
        <v>221.69980499244085</v>
      </c>
      <c r="K7" s="449">
        <f>landbouw!K8</f>
        <v>0</v>
      </c>
      <c r="L7" s="449">
        <f>landbouw!L8</f>
        <v>0</v>
      </c>
      <c r="M7" s="449">
        <f>landbouw!M8</f>
        <v>0</v>
      </c>
      <c r="N7" s="449">
        <f>landbouw!N8</f>
        <v>0</v>
      </c>
      <c r="O7" s="449">
        <f>landbouw!O8</f>
        <v>0</v>
      </c>
      <c r="P7" s="450">
        <f>landbouw!P8</f>
        <v>0</v>
      </c>
      <c r="Q7" s="448">
        <f t="shared" si="0"/>
        <v>14138.226507033076</v>
      </c>
    </row>
    <row r="8" spans="1:17">
      <c r="A8" s="448" t="s">
        <v>643</v>
      </c>
      <c r="B8" s="449">
        <f>industrie!B18</f>
        <v>116427.08738893957</v>
      </c>
      <c r="C8" s="449">
        <f>industrie!C18</f>
        <v>0</v>
      </c>
      <c r="D8" s="449">
        <f>industrie!D18</f>
        <v>209295.371978682</v>
      </c>
      <c r="E8" s="449">
        <f>industrie!E18</f>
        <v>1396.8327364773061</v>
      </c>
      <c r="F8" s="449">
        <f>industrie!F18</f>
        <v>31643.26540644381</v>
      </c>
      <c r="G8" s="449">
        <f>industrie!G18</f>
        <v>0</v>
      </c>
      <c r="H8" s="449">
        <f>industrie!H18</f>
        <v>0</v>
      </c>
      <c r="I8" s="449">
        <f>industrie!I18</f>
        <v>0</v>
      </c>
      <c r="J8" s="449">
        <f>industrie!J18</f>
        <v>645.30662320852537</v>
      </c>
      <c r="K8" s="449">
        <f>industrie!K18</f>
        <v>0</v>
      </c>
      <c r="L8" s="449">
        <f>industrie!L18</f>
        <v>0</v>
      </c>
      <c r="M8" s="449">
        <f>industrie!M18</f>
        <v>0</v>
      </c>
      <c r="N8" s="449">
        <f>industrie!N18</f>
        <v>2657.1696108623719</v>
      </c>
      <c r="O8" s="449">
        <f>industrie!O18</f>
        <v>0</v>
      </c>
      <c r="P8" s="450">
        <f>industrie!P18</f>
        <v>0</v>
      </c>
      <c r="Q8" s="448">
        <f t="shared" si="0"/>
        <v>362065.03374461358</v>
      </c>
    </row>
    <row r="9" spans="1:17" s="454" customFormat="1">
      <c r="A9" s="452" t="s">
        <v>562</v>
      </c>
      <c r="B9" s="453">
        <f>transport!B14</f>
        <v>6.7378595900775995</v>
      </c>
      <c r="C9" s="453">
        <f>transport!C14</f>
        <v>0</v>
      </c>
      <c r="D9" s="453">
        <f>transport!D14</f>
        <v>21.418185764442917</v>
      </c>
      <c r="E9" s="453">
        <f>transport!E14</f>
        <v>2403.868341258803</v>
      </c>
      <c r="F9" s="453">
        <f>transport!F14</f>
        <v>0</v>
      </c>
      <c r="G9" s="453">
        <f>transport!G14</f>
        <v>574473.58180607751</v>
      </c>
      <c r="H9" s="453">
        <f>transport!H14</f>
        <v>72210.803700083881</v>
      </c>
      <c r="I9" s="453">
        <f>transport!I14</f>
        <v>0</v>
      </c>
      <c r="J9" s="453">
        <f>transport!J14</f>
        <v>0</v>
      </c>
      <c r="K9" s="453">
        <f>transport!K14</f>
        <v>0</v>
      </c>
      <c r="L9" s="453">
        <f>transport!L14</f>
        <v>0</v>
      </c>
      <c r="M9" s="453">
        <f>transport!M14</f>
        <v>28071.354717677852</v>
      </c>
      <c r="N9" s="453">
        <f>transport!N14</f>
        <v>0</v>
      </c>
      <c r="O9" s="453">
        <f>transport!O14</f>
        <v>0</v>
      </c>
      <c r="P9" s="453">
        <f>transport!P14</f>
        <v>0</v>
      </c>
      <c r="Q9" s="452">
        <f>SUM(B9:P9)</f>
        <v>677187.76461045246</v>
      </c>
    </row>
    <row r="10" spans="1:17">
      <c r="A10" s="448" t="s">
        <v>552</v>
      </c>
      <c r="B10" s="449">
        <f>transport!B54</f>
        <v>54.647585087881389</v>
      </c>
      <c r="C10" s="449">
        <f>transport!C54</f>
        <v>0</v>
      </c>
      <c r="D10" s="449">
        <f>transport!D54</f>
        <v>0</v>
      </c>
      <c r="E10" s="449">
        <f>transport!E54</f>
        <v>0</v>
      </c>
      <c r="F10" s="449">
        <f>transport!F54</f>
        <v>0</v>
      </c>
      <c r="G10" s="449">
        <f>transport!G54</f>
        <v>11855.244930802184</v>
      </c>
      <c r="H10" s="449">
        <f>transport!H54</f>
        <v>0</v>
      </c>
      <c r="I10" s="449">
        <f>transport!I54</f>
        <v>0</v>
      </c>
      <c r="J10" s="449">
        <f>transport!J54</f>
        <v>0</v>
      </c>
      <c r="K10" s="449">
        <f>transport!K54</f>
        <v>0</v>
      </c>
      <c r="L10" s="449">
        <f>transport!L54</f>
        <v>0</v>
      </c>
      <c r="M10" s="449">
        <f>transport!M54</f>
        <v>507.59604898888551</v>
      </c>
      <c r="N10" s="449">
        <f>transport!N54</f>
        <v>0</v>
      </c>
      <c r="O10" s="449">
        <f>transport!O54</f>
        <v>0</v>
      </c>
      <c r="P10" s="450">
        <f>transport!P54</f>
        <v>0</v>
      </c>
      <c r="Q10" s="448">
        <f t="shared" si="0"/>
        <v>12417.488564878951</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11177.698225448299</v>
      </c>
      <c r="C14" s="456"/>
      <c r="D14" s="456">
        <f>'SEAP template'!E25</f>
        <v>36690.4372092263</v>
      </c>
      <c r="E14" s="456"/>
      <c r="F14" s="456"/>
      <c r="G14" s="456"/>
      <c r="H14" s="456"/>
      <c r="I14" s="456"/>
      <c r="J14" s="456"/>
      <c r="K14" s="456"/>
      <c r="L14" s="456"/>
      <c r="M14" s="456"/>
      <c r="N14" s="456"/>
      <c r="O14" s="456"/>
      <c r="P14" s="457"/>
      <c r="Q14" s="448">
        <f t="shared" si="0"/>
        <v>47868.135434674601</v>
      </c>
    </row>
    <row r="15" spans="1:17" s="461" customFormat="1">
      <c r="A15" s="458" t="s">
        <v>556</v>
      </c>
      <c r="B15" s="459">
        <f ca="1">SUM(B4:B14)</f>
        <v>440097.01048978121</v>
      </c>
      <c r="C15" s="459">
        <f t="shared" ref="C15:Q15" ca="1" si="1">SUM(C4:C14)</f>
        <v>916.07142857142856</v>
      </c>
      <c r="D15" s="459">
        <f t="shared" ca="1" si="1"/>
        <v>772838.802949604</v>
      </c>
      <c r="E15" s="459">
        <f t="shared" si="1"/>
        <v>11865.064449303145</v>
      </c>
      <c r="F15" s="459">
        <f t="shared" ca="1" si="1"/>
        <v>242512.06670974876</v>
      </c>
      <c r="G15" s="459">
        <f t="shared" si="1"/>
        <v>586328.82673687965</v>
      </c>
      <c r="H15" s="459">
        <f t="shared" si="1"/>
        <v>72210.803700083881</v>
      </c>
      <c r="I15" s="459">
        <f t="shared" si="1"/>
        <v>0</v>
      </c>
      <c r="J15" s="459">
        <f t="shared" si="1"/>
        <v>4532.8944881221896</v>
      </c>
      <c r="K15" s="459">
        <f t="shared" si="1"/>
        <v>0</v>
      </c>
      <c r="L15" s="459">
        <f t="shared" ca="1" si="1"/>
        <v>0</v>
      </c>
      <c r="M15" s="459">
        <f t="shared" si="1"/>
        <v>28578.950766666738</v>
      </c>
      <c r="N15" s="459">
        <f t="shared" ca="1" si="1"/>
        <v>45781.095439302131</v>
      </c>
      <c r="O15" s="459">
        <f t="shared" si="1"/>
        <v>282.96333333333331</v>
      </c>
      <c r="P15" s="459">
        <f t="shared" si="1"/>
        <v>400.4</v>
      </c>
      <c r="Q15" s="459">
        <f t="shared" ca="1" si="1"/>
        <v>2206344.9504913967</v>
      </c>
    </row>
    <row r="17" spans="1:17">
      <c r="A17" s="462" t="s">
        <v>557</v>
      </c>
      <c r="B17" s="766">
        <f ca="1">huishoudens!B10</f>
        <v>0.21156142290130919</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26069.669738723976</v>
      </c>
      <c r="C22" s="449">
        <f t="shared" ref="C22:C32" ca="1" si="3">C4*$C$17</f>
        <v>0</v>
      </c>
      <c r="D22" s="449">
        <f t="shared" ref="D22:D32" si="4">D4*$D$17</f>
        <v>64802.696893043692</v>
      </c>
      <c r="E22" s="449">
        <f t="shared" ref="E22:E32" si="5">E4*$E$17</f>
        <v>1082.663131550343</v>
      </c>
      <c r="F22" s="449">
        <f t="shared" ref="F22:F32" si="6">F4*$F$17</f>
        <v>43468.131269762118</v>
      </c>
      <c r="G22" s="449">
        <f t="shared" ref="G22:G32" si="7">G4*$G$17</f>
        <v>0</v>
      </c>
      <c r="H22" s="449">
        <f t="shared" ref="H22:H32" si="8">H4*$H$17</f>
        <v>0</v>
      </c>
      <c r="I22" s="449">
        <f t="shared" ref="I22:I32" si="9">I4*$I$17</f>
        <v>0</v>
      </c>
      <c r="J22" s="449">
        <f t="shared" ref="J22:J32" si="10">J4*$J$17</f>
        <v>1297.7243732121128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136720.88540629225</v>
      </c>
    </row>
    <row r="23" spans="1:17">
      <c r="A23" s="448" t="s">
        <v>155</v>
      </c>
      <c r="B23" s="449">
        <f t="shared" ca="1" si="2"/>
        <v>38049.983810736267</v>
      </c>
      <c r="C23" s="449">
        <f t="shared" ca="1" si="3"/>
        <v>217.70168067226894</v>
      </c>
      <c r="D23" s="449">
        <f t="shared" ca="1" si="4"/>
        <v>41459.394622116553</v>
      </c>
      <c r="E23" s="449">
        <f t="shared" si="5"/>
        <v>742.04622990213079</v>
      </c>
      <c r="F23" s="449">
        <f t="shared" ca="1" si="6"/>
        <v>9996.5574246982123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90465.68376812544</v>
      </c>
    </row>
    <row r="24" spans="1:17">
      <c r="A24" s="448" t="s">
        <v>193</v>
      </c>
      <c r="B24" s="449">
        <f t="shared" ca="1" si="2"/>
        <v>1453.481135056257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1453.481135056257</v>
      </c>
    </row>
    <row r="25" spans="1:17">
      <c r="A25" s="448" t="s">
        <v>111</v>
      </c>
      <c r="B25" s="449">
        <f t="shared" ca="1" si="2"/>
        <v>525.17826369610202</v>
      </c>
      <c r="C25" s="449">
        <f t="shared" ca="1" si="3"/>
        <v>0</v>
      </c>
      <c r="D25" s="449">
        <f t="shared" si="4"/>
        <v>157.88675117786315</v>
      </c>
      <c r="E25" s="449">
        <f t="shared" si="5"/>
        <v>5.9011238932433487</v>
      </c>
      <c r="F25" s="449">
        <f t="shared" si="6"/>
        <v>2837.2812535220996</v>
      </c>
      <c r="G25" s="449">
        <f t="shared" si="7"/>
        <v>0</v>
      </c>
      <c r="H25" s="449">
        <f t="shared" si="8"/>
        <v>0</v>
      </c>
      <c r="I25" s="449">
        <f t="shared" si="9"/>
        <v>0</v>
      </c>
      <c r="J25" s="449">
        <f t="shared" si="10"/>
        <v>78.481730967324054</v>
      </c>
      <c r="K25" s="449">
        <f t="shared" si="11"/>
        <v>0</v>
      </c>
      <c r="L25" s="449">
        <f t="shared" si="12"/>
        <v>0</v>
      </c>
      <c r="M25" s="449">
        <f t="shared" si="13"/>
        <v>0</v>
      </c>
      <c r="N25" s="449">
        <f t="shared" si="14"/>
        <v>0</v>
      </c>
      <c r="O25" s="449">
        <f t="shared" si="15"/>
        <v>0</v>
      </c>
      <c r="P25" s="450">
        <f t="shared" si="16"/>
        <v>0</v>
      </c>
      <c r="Q25" s="448">
        <f t="shared" ca="1" si="17"/>
        <v>3604.7291232566322</v>
      </c>
    </row>
    <row r="26" spans="1:17">
      <c r="A26" s="448" t="s">
        <v>643</v>
      </c>
      <c r="B26" s="449">
        <f t="shared" ca="1" si="2"/>
        <v>24631.480272259127</v>
      </c>
      <c r="C26" s="449">
        <f t="shared" ca="1" si="3"/>
        <v>0</v>
      </c>
      <c r="D26" s="449">
        <f t="shared" si="4"/>
        <v>42277.665139693767</v>
      </c>
      <c r="E26" s="449">
        <f t="shared" si="5"/>
        <v>317.08103118034848</v>
      </c>
      <c r="F26" s="449">
        <f t="shared" si="6"/>
        <v>8448.7518635204979</v>
      </c>
      <c r="G26" s="449">
        <f t="shared" si="7"/>
        <v>0</v>
      </c>
      <c r="H26" s="449">
        <f t="shared" si="8"/>
        <v>0</v>
      </c>
      <c r="I26" s="449">
        <f t="shared" si="9"/>
        <v>0</v>
      </c>
      <c r="J26" s="449">
        <f t="shared" si="10"/>
        <v>228.43854461581796</v>
      </c>
      <c r="K26" s="449">
        <f t="shared" si="11"/>
        <v>0</v>
      </c>
      <c r="L26" s="449">
        <f t="shared" si="12"/>
        <v>0</v>
      </c>
      <c r="M26" s="449">
        <f t="shared" si="13"/>
        <v>0</v>
      </c>
      <c r="N26" s="449">
        <f t="shared" si="14"/>
        <v>0</v>
      </c>
      <c r="O26" s="449">
        <f t="shared" si="15"/>
        <v>0</v>
      </c>
      <c r="P26" s="450">
        <f t="shared" si="16"/>
        <v>0</v>
      </c>
      <c r="Q26" s="448">
        <f t="shared" ca="1" si="17"/>
        <v>75903.416851269547</v>
      </c>
    </row>
    <row r="27" spans="1:17" s="454" customFormat="1">
      <c r="A27" s="452" t="s">
        <v>562</v>
      </c>
      <c r="B27" s="760">
        <f t="shared" ca="1" si="2"/>
        <v>1.4254711621860487</v>
      </c>
      <c r="C27" s="453">
        <f t="shared" ca="1" si="3"/>
        <v>0</v>
      </c>
      <c r="D27" s="453">
        <f t="shared" si="4"/>
        <v>4.3264735244174695</v>
      </c>
      <c r="E27" s="453">
        <f t="shared" si="5"/>
        <v>545.67811346574831</v>
      </c>
      <c r="F27" s="453">
        <f t="shared" si="6"/>
        <v>0</v>
      </c>
      <c r="G27" s="453">
        <f t="shared" si="7"/>
        <v>153384.44634222271</v>
      </c>
      <c r="H27" s="453">
        <f t="shared" si="8"/>
        <v>17980.490121320887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171916.36652169595</v>
      </c>
    </row>
    <row r="28" spans="1:17">
      <c r="A28" s="448" t="s">
        <v>552</v>
      </c>
      <c r="B28" s="449">
        <f t="shared" ca="1" si="2"/>
        <v>11.561320859312552</v>
      </c>
      <c r="C28" s="449">
        <f t="shared" ca="1" si="3"/>
        <v>0</v>
      </c>
      <c r="D28" s="449">
        <f t="shared" si="4"/>
        <v>0</v>
      </c>
      <c r="E28" s="449">
        <f t="shared" si="5"/>
        <v>0</v>
      </c>
      <c r="F28" s="449">
        <f t="shared" si="6"/>
        <v>0</v>
      </c>
      <c r="G28" s="449">
        <f t="shared" si="7"/>
        <v>3165.3503965241835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3176.9117173834961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2364.7697413372807</v>
      </c>
      <c r="C32" s="449">
        <f t="shared" ca="1" si="3"/>
        <v>0</v>
      </c>
      <c r="D32" s="449">
        <f t="shared" si="4"/>
        <v>7411.4683162637129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9776.2380576009928</v>
      </c>
    </row>
    <row r="33" spans="1:17" s="461" customFormat="1">
      <c r="A33" s="458" t="s">
        <v>556</v>
      </c>
      <c r="B33" s="459">
        <f ca="1">SUM(B22:B32)</f>
        <v>93107.549753830506</v>
      </c>
      <c r="C33" s="459">
        <f t="shared" ref="C33:Q33" ca="1" si="19">SUM(C22:C32)</f>
        <v>217.70168067226894</v>
      </c>
      <c r="D33" s="459">
        <f t="shared" ca="1" si="19"/>
        <v>156113.43819582002</v>
      </c>
      <c r="E33" s="459">
        <f t="shared" si="19"/>
        <v>2693.3696299918138</v>
      </c>
      <c r="F33" s="459">
        <f t="shared" ca="1" si="19"/>
        <v>64750.721811502932</v>
      </c>
      <c r="G33" s="459">
        <f t="shared" si="19"/>
        <v>156549.7967387469</v>
      </c>
      <c r="H33" s="459">
        <f t="shared" si="19"/>
        <v>17980.490121320887</v>
      </c>
      <c r="I33" s="459">
        <f t="shared" si="19"/>
        <v>0</v>
      </c>
      <c r="J33" s="459">
        <f t="shared" si="19"/>
        <v>1604.6446487952549</v>
      </c>
      <c r="K33" s="459">
        <f t="shared" si="19"/>
        <v>0</v>
      </c>
      <c r="L33" s="459">
        <f t="shared" ca="1" si="19"/>
        <v>0</v>
      </c>
      <c r="M33" s="459">
        <f t="shared" si="19"/>
        <v>0</v>
      </c>
      <c r="N33" s="459">
        <f t="shared" ca="1" si="19"/>
        <v>0</v>
      </c>
      <c r="O33" s="459">
        <f t="shared" si="19"/>
        <v>0</v>
      </c>
      <c r="P33" s="459">
        <f t="shared" si="19"/>
        <v>0</v>
      </c>
      <c r="Q33" s="459">
        <f t="shared" ca="1" si="19"/>
        <v>493017.71258068061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9911.2119547937709</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8932.9712618656122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641.25</v>
      </c>
      <c r="D8" s="1008">
        <f>'SEAP template'!D76</f>
        <v>754.41176470588255</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152.39117647058828</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18844.183216659381</v>
      </c>
      <c r="C10" s="1012">
        <f>SUM(C4:C9)</f>
        <v>641.25</v>
      </c>
      <c r="D10" s="1012">
        <f t="shared" ref="D10:H10" si="0">SUM(D8:D9)</f>
        <v>754.41176470588255</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152.39117647058828</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0.21156142290130919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916.07142857142856</v>
      </c>
      <c r="D17" s="1009">
        <f>'SEAP template'!D87</f>
        <v>1077.7310924369749</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217.70168067226894</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916.07142857142856</v>
      </c>
      <c r="D20" s="1012">
        <f t="shared" ref="D20:H20" si="2">SUM(D17:D19)</f>
        <v>1077.7310924369749</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217.70168067226894</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0.21156142290130919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0.21156142290130919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0.21156142290130919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32508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3714</v>
      </c>
      <c r="C14" s="326"/>
      <c r="D14" s="326"/>
      <c r="E14" s="326"/>
      <c r="F14" s="326"/>
    </row>
    <row r="15" spans="1:6">
      <c r="A15" s="1282" t="s">
        <v>183</v>
      </c>
      <c r="B15" s="1283">
        <v>32</v>
      </c>
      <c r="C15" s="326"/>
      <c r="D15" s="326"/>
      <c r="E15" s="326"/>
      <c r="F15" s="326"/>
    </row>
    <row r="16" spans="1:6">
      <c r="A16" s="1282" t="s">
        <v>6</v>
      </c>
      <c r="B16" s="1283">
        <v>915</v>
      </c>
      <c r="C16" s="326"/>
      <c r="D16" s="326"/>
      <c r="E16" s="326"/>
      <c r="F16" s="326"/>
    </row>
    <row r="17" spans="1:6">
      <c r="A17" s="1282" t="s">
        <v>7</v>
      </c>
      <c r="B17" s="1283">
        <v>1020</v>
      </c>
      <c r="C17" s="326"/>
      <c r="D17" s="326"/>
      <c r="E17" s="326"/>
      <c r="F17" s="326"/>
    </row>
    <row r="18" spans="1:6">
      <c r="A18" s="1282" t="s">
        <v>8</v>
      </c>
      <c r="B18" s="1283">
        <v>1242</v>
      </c>
      <c r="C18" s="326"/>
      <c r="D18" s="326"/>
      <c r="E18" s="326"/>
      <c r="F18" s="326"/>
    </row>
    <row r="19" spans="1:6">
      <c r="A19" s="1282" t="s">
        <v>9</v>
      </c>
      <c r="B19" s="1283">
        <v>1196</v>
      </c>
      <c r="C19" s="326"/>
      <c r="D19" s="326"/>
      <c r="E19" s="326"/>
      <c r="F19" s="326"/>
    </row>
    <row r="20" spans="1:6">
      <c r="A20" s="1282" t="s">
        <v>10</v>
      </c>
      <c r="B20" s="1283">
        <v>1391</v>
      </c>
      <c r="C20" s="326"/>
      <c r="D20" s="326"/>
      <c r="E20" s="326"/>
      <c r="F20" s="326"/>
    </row>
    <row r="21" spans="1:6">
      <c r="A21" s="1282" t="s">
        <v>11</v>
      </c>
      <c r="B21" s="1283">
        <v>2566</v>
      </c>
      <c r="C21" s="326"/>
      <c r="D21" s="326"/>
      <c r="E21" s="326"/>
      <c r="F21" s="326"/>
    </row>
    <row r="22" spans="1:6">
      <c r="A22" s="1282" t="s">
        <v>12</v>
      </c>
      <c r="B22" s="1283">
        <v>10226</v>
      </c>
      <c r="C22" s="326"/>
      <c r="D22" s="326"/>
      <c r="E22" s="326"/>
      <c r="F22" s="326"/>
    </row>
    <row r="23" spans="1:6">
      <c r="A23" s="1282" t="s">
        <v>13</v>
      </c>
      <c r="B23" s="1283">
        <v>117</v>
      </c>
      <c r="C23" s="326"/>
      <c r="D23" s="326"/>
      <c r="E23" s="326"/>
      <c r="F23" s="326"/>
    </row>
    <row r="24" spans="1:6">
      <c r="A24" s="1282" t="s">
        <v>14</v>
      </c>
      <c r="B24" s="1283">
        <v>8</v>
      </c>
      <c r="C24" s="326"/>
      <c r="D24" s="326"/>
      <c r="E24" s="326"/>
      <c r="F24" s="326"/>
    </row>
    <row r="25" spans="1:6">
      <c r="A25" s="1282" t="s">
        <v>15</v>
      </c>
      <c r="B25" s="1283">
        <v>720</v>
      </c>
      <c r="C25" s="326"/>
      <c r="D25" s="326"/>
      <c r="E25" s="326"/>
      <c r="F25" s="326"/>
    </row>
    <row r="26" spans="1:6">
      <c r="A26" s="1282" t="s">
        <v>16</v>
      </c>
      <c r="B26" s="1283">
        <v>78</v>
      </c>
      <c r="C26" s="326"/>
      <c r="D26" s="326"/>
      <c r="E26" s="326"/>
      <c r="F26" s="326"/>
    </row>
    <row r="27" spans="1:6">
      <c r="A27" s="1282" t="s">
        <v>17</v>
      </c>
      <c r="B27" s="1283">
        <v>9</v>
      </c>
      <c r="C27" s="326"/>
      <c r="D27" s="326"/>
      <c r="E27" s="326"/>
      <c r="F27" s="326"/>
    </row>
    <row r="28" spans="1:6" s="43" customFormat="1">
      <c r="A28" s="1284" t="s">
        <v>18</v>
      </c>
      <c r="B28" s="1285">
        <v>173590</v>
      </c>
      <c r="C28" s="332"/>
      <c r="D28" s="332"/>
      <c r="E28" s="332"/>
      <c r="F28" s="332"/>
    </row>
    <row r="29" spans="1:6">
      <c r="A29" s="1284" t="s">
        <v>978</v>
      </c>
      <c r="B29" s="1285">
        <v>241</v>
      </c>
      <c r="C29" s="332"/>
      <c r="D29" s="332"/>
      <c r="E29" s="332"/>
      <c r="F29" s="332"/>
    </row>
    <row r="30" spans="1:6">
      <c r="A30" s="1277" t="s">
        <v>979</v>
      </c>
      <c r="B30" s="1286">
        <v>55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5</v>
      </c>
      <c r="D36" s="1283">
        <v>856492.95897053205</v>
      </c>
      <c r="E36" s="1283">
        <v>11</v>
      </c>
      <c r="F36" s="1283">
        <v>1382837.7460161301</v>
      </c>
    </row>
    <row r="37" spans="1:6">
      <c r="A37" s="1282" t="s">
        <v>24</v>
      </c>
      <c r="B37" s="1282" t="s">
        <v>27</v>
      </c>
      <c r="C37" s="1283">
        <v>0</v>
      </c>
      <c r="D37" s="1283">
        <v>0</v>
      </c>
      <c r="E37" s="1283">
        <v>0</v>
      </c>
      <c r="F37" s="1283">
        <v>0</v>
      </c>
    </row>
    <row r="38" spans="1:6">
      <c r="A38" s="1282" t="s">
        <v>24</v>
      </c>
      <c r="B38" s="1282" t="s">
        <v>28</v>
      </c>
      <c r="C38" s="1283">
        <v>3</v>
      </c>
      <c r="D38" s="1283">
        <v>315172.07349169097</v>
      </c>
      <c r="E38" s="1283">
        <v>8</v>
      </c>
      <c r="F38" s="1283">
        <v>59626.339182335403</v>
      </c>
    </row>
    <row r="39" spans="1:6">
      <c r="A39" s="1282" t="s">
        <v>29</v>
      </c>
      <c r="B39" s="1282" t="s">
        <v>30</v>
      </c>
      <c r="C39" s="1283">
        <v>23802</v>
      </c>
      <c r="D39" s="1283">
        <v>355660122.13257498</v>
      </c>
      <c r="E39" s="1283">
        <v>30881</v>
      </c>
      <c r="F39" s="1283">
        <v>118624709.059242</v>
      </c>
    </row>
    <row r="40" spans="1:6">
      <c r="A40" s="1282" t="s">
        <v>29</v>
      </c>
      <c r="B40" s="1282" t="s">
        <v>28</v>
      </c>
      <c r="C40" s="1283">
        <v>0</v>
      </c>
      <c r="D40" s="1283">
        <v>0</v>
      </c>
      <c r="E40" s="1283">
        <v>2</v>
      </c>
      <c r="F40" s="1283">
        <v>22516.515215248299</v>
      </c>
    </row>
    <row r="41" spans="1:6">
      <c r="A41" s="1282" t="s">
        <v>31</v>
      </c>
      <c r="B41" s="1282" t="s">
        <v>32</v>
      </c>
      <c r="C41" s="1283">
        <v>357</v>
      </c>
      <c r="D41" s="1283">
        <v>9053405.7634663396</v>
      </c>
      <c r="E41" s="1283">
        <v>701</v>
      </c>
      <c r="F41" s="1283">
        <v>18338721.744815201</v>
      </c>
    </row>
    <row r="42" spans="1:6">
      <c r="A42" s="1282" t="s">
        <v>31</v>
      </c>
      <c r="B42" s="1282" t="s">
        <v>33</v>
      </c>
      <c r="C42" s="1283">
        <v>0</v>
      </c>
      <c r="D42" s="1283">
        <v>0</v>
      </c>
      <c r="E42" s="1283">
        <v>0</v>
      </c>
      <c r="F42" s="1283">
        <v>0</v>
      </c>
    </row>
    <row r="43" spans="1:6">
      <c r="A43" s="1282" t="s">
        <v>31</v>
      </c>
      <c r="B43" s="1282" t="s">
        <v>34</v>
      </c>
      <c r="C43" s="1283">
        <v>3</v>
      </c>
      <c r="D43" s="1283">
        <v>111659.156629572</v>
      </c>
      <c r="E43" s="1283">
        <v>6</v>
      </c>
      <c r="F43" s="1283">
        <v>313478.96591424802</v>
      </c>
    </row>
    <row r="44" spans="1:6">
      <c r="A44" s="1282" t="s">
        <v>31</v>
      </c>
      <c r="B44" s="1282" t="s">
        <v>35</v>
      </c>
      <c r="C44" s="1283">
        <v>14</v>
      </c>
      <c r="D44" s="1283">
        <v>5884470.9556650398</v>
      </c>
      <c r="E44" s="1283">
        <v>37</v>
      </c>
      <c r="F44" s="1283">
        <v>9336619.8995355908</v>
      </c>
    </row>
    <row r="45" spans="1:6">
      <c r="A45" s="1282" t="s">
        <v>31</v>
      </c>
      <c r="B45" s="1282" t="s">
        <v>36</v>
      </c>
      <c r="C45" s="1283">
        <v>9</v>
      </c>
      <c r="D45" s="1283">
        <v>229843.662866067</v>
      </c>
      <c r="E45" s="1283">
        <v>13</v>
      </c>
      <c r="F45" s="1283">
        <v>50134.950665166798</v>
      </c>
    </row>
    <row r="46" spans="1:6">
      <c r="A46" s="1282" t="s">
        <v>31</v>
      </c>
      <c r="B46" s="1282" t="s">
        <v>37</v>
      </c>
      <c r="C46" s="1283">
        <v>0</v>
      </c>
      <c r="D46" s="1283">
        <v>0</v>
      </c>
      <c r="E46" s="1283">
        <v>3</v>
      </c>
      <c r="F46" s="1283">
        <v>44253.033185510401</v>
      </c>
    </row>
    <row r="47" spans="1:6">
      <c r="A47" s="1282" t="s">
        <v>31</v>
      </c>
      <c r="B47" s="1282" t="s">
        <v>38</v>
      </c>
      <c r="C47" s="1283">
        <v>34</v>
      </c>
      <c r="D47" s="1283">
        <v>14184446.5717253</v>
      </c>
      <c r="E47" s="1283">
        <v>36</v>
      </c>
      <c r="F47" s="1283">
        <v>12385411.069776701</v>
      </c>
    </row>
    <row r="48" spans="1:6">
      <c r="A48" s="1282" t="s">
        <v>31</v>
      </c>
      <c r="B48" s="1282" t="s">
        <v>28</v>
      </c>
      <c r="C48" s="1283">
        <v>115</v>
      </c>
      <c r="D48" s="1283">
        <v>187857791.422793</v>
      </c>
      <c r="E48" s="1283">
        <v>146</v>
      </c>
      <c r="F48" s="1283">
        <v>60194520.630727403</v>
      </c>
    </row>
    <row r="49" spans="1:6">
      <c r="A49" s="1282" t="s">
        <v>31</v>
      </c>
      <c r="B49" s="1282" t="s">
        <v>39</v>
      </c>
      <c r="C49" s="1283">
        <v>3</v>
      </c>
      <c r="D49" s="1283">
        <v>223298.44818022501</v>
      </c>
      <c r="E49" s="1283">
        <v>36</v>
      </c>
      <c r="F49" s="1283">
        <v>6752749.9444104703</v>
      </c>
    </row>
    <row r="50" spans="1:6">
      <c r="A50" s="1282" t="s">
        <v>31</v>
      </c>
      <c r="B50" s="1282" t="s">
        <v>40</v>
      </c>
      <c r="C50" s="1283">
        <v>75</v>
      </c>
      <c r="D50" s="1283">
        <v>14489864.4828452</v>
      </c>
      <c r="E50" s="1283">
        <v>99</v>
      </c>
      <c r="F50" s="1283">
        <v>9011197.1499092709</v>
      </c>
    </row>
    <row r="51" spans="1:6">
      <c r="A51" s="1282" t="s">
        <v>41</v>
      </c>
      <c r="B51" s="1282" t="s">
        <v>42</v>
      </c>
      <c r="C51" s="1283">
        <v>11</v>
      </c>
      <c r="D51" s="1283">
        <v>308697.77633114997</v>
      </c>
      <c r="E51" s="1283">
        <v>110</v>
      </c>
      <c r="F51" s="1283">
        <v>1588214.3929848899</v>
      </c>
    </row>
    <row r="52" spans="1:6">
      <c r="A52" s="1282" t="s">
        <v>41</v>
      </c>
      <c r="B52" s="1282" t="s">
        <v>28</v>
      </c>
      <c r="C52" s="1283">
        <v>14</v>
      </c>
      <c r="D52" s="1283">
        <v>557840.56079571403</v>
      </c>
      <c r="E52" s="1283">
        <v>22</v>
      </c>
      <c r="F52" s="1283">
        <v>894177.03969653603</v>
      </c>
    </row>
    <row r="53" spans="1:6">
      <c r="A53" s="1282" t="s">
        <v>43</v>
      </c>
      <c r="B53" s="1282" t="s">
        <v>44</v>
      </c>
      <c r="C53" s="1283">
        <v>1409</v>
      </c>
      <c r="D53" s="1283">
        <v>36690437.209226303</v>
      </c>
      <c r="E53" s="1283">
        <v>2025</v>
      </c>
      <c r="F53" s="1283">
        <v>11177698.225448299</v>
      </c>
    </row>
    <row r="54" spans="1:6">
      <c r="A54" s="1282" t="s">
        <v>45</v>
      </c>
      <c r="B54" s="1282" t="s">
        <v>46</v>
      </c>
      <c r="C54" s="1283">
        <v>0</v>
      </c>
      <c r="D54" s="1283">
        <v>0</v>
      </c>
      <c r="E54" s="1283">
        <v>3</v>
      </c>
      <c r="F54" s="1283">
        <v>6870256</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318</v>
      </c>
      <c r="D57" s="1283">
        <v>30508625.50482</v>
      </c>
      <c r="E57" s="1283">
        <v>488</v>
      </c>
      <c r="F57" s="1283">
        <v>17343776.553338099</v>
      </c>
    </row>
    <row r="58" spans="1:6">
      <c r="A58" s="1282" t="s">
        <v>48</v>
      </c>
      <c r="B58" s="1282" t="s">
        <v>50</v>
      </c>
      <c r="C58" s="1283">
        <v>285</v>
      </c>
      <c r="D58" s="1283">
        <v>40677742.483376503</v>
      </c>
      <c r="E58" s="1283">
        <v>421</v>
      </c>
      <c r="F58" s="1283">
        <v>27047685.990938202</v>
      </c>
    </row>
    <row r="59" spans="1:6">
      <c r="A59" s="1282" t="s">
        <v>48</v>
      </c>
      <c r="B59" s="1282" t="s">
        <v>51</v>
      </c>
      <c r="C59" s="1283">
        <v>743</v>
      </c>
      <c r="D59" s="1283">
        <v>41417593.708425798</v>
      </c>
      <c r="E59" s="1283">
        <v>1404</v>
      </c>
      <c r="F59" s="1283">
        <v>44689565.820419602</v>
      </c>
    </row>
    <row r="60" spans="1:6">
      <c r="A60" s="1282" t="s">
        <v>48</v>
      </c>
      <c r="B60" s="1282" t="s">
        <v>52</v>
      </c>
      <c r="C60" s="1283">
        <v>355</v>
      </c>
      <c r="D60" s="1283">
        <v>16150395.716983199</v>
      </c>
      <c r="E60" s="1283">
        <v>427</v>
      </c>
      <c r="F60" s="1283">
        <v>13561439.206773501</v>
      </c>
    </row>
    <row r="61" spans="1:6">
      <c r="A61" s="1282" t="s">
        <v>48</v>
      </c>
      <c r="B61" s="1282" t="s">
        <v>53</v>
      </c>
      <c r="C61" s="1283">
        <v>1139</v>
      </c>
      <c r="D61" s="1283">
        <v>64967387.832702197</v>
      </c>
      <c r="E61" s="1283">
        <v>2447</v>
      </c>
      <c r="F61" s="1283">
        <v>49895444.535402603</v>
      </c>
    </row>
    <row r="62" spans="1:6">
      <c r="A62" s="1282" t="s">
        <v>48</v>
      </c>
      <c r="B62" s="1282" t="s">
        <v>54</v>
      </c>
      <c r="C62" s="1283">
        <v>111</v>
      </c>
      <c r="D62" s="1283">
        <v>21511163.638681799</v>
      </c>
      <c r="E62" s="1283">
        <v>104</v>
      </c>
      <c r="F62" s="1283">
        <v>7788495.9959843904</v>
      </c>
    </row>
    <row r="63" spans="1:6">
      <c r="A63" s="1282" t="s">
        <v>48</v>
      </c>
      <c r="B63" s="1282" t="s">
        <v>28</v>
      </c>
      <c r="C63" s="1283">
        <v>279</v>
      </c>
      <c r="D63" s="1283">
        <v>14342114.0522644</v>
      </c>
      <c r="E63" s="1283">
        <v>308</v>
      </c>
      <c r="F63" s="1283">
        <v>18885470.548514601</v>
      </c>
    </row>
    <row r="64" spans="1:6">
      <c r="A64" s="1282" t="s">
        <v>55</v>
      </c>
      <c r="B64" s="1282" t="s">
        <v>56</v>
      </c>
      <c r="C64" s="1283">
        <v>0</v>
      </c>
      <c r="D64" s="1283">
        <v>0</v>
      </c>
      <c r="E64" s="1283">
        <v>0</v>
      </c>
      <c r="F64" s="1283">
        <v>0</v>
      </c>
    </row>
    <row r="65" spans="1:6">
      <c r="A65" s="1282" t="s">
        <v>55</v>
      </c>
      <c r="B65" s="1282" t="s">
        <v>28</v>
      </c>
      <c r="C65" s="1283">
        <v>8</v>
      </c>
      <c r="D65" s="1283">
        <v>378722.694964981</v>
      </c>
      <c r="E65" s="1283">
        <v>10</v>
      </c>
      <c r="F65" s="1283">
        <v>125492.350951859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10</v>
      </c>
      <c r="D68" s="1286">
        <v>219955.07387707001</v>
      </c>
      <c r="E68" s="1286">
        <v>40</v>
      </c>
      <c r="F68" s="1286">
        <v>986697.972195838</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233678031</v>
      </c>
      <c r="E73" s="447"/>
      <c r="F73" s="326"/>
    </row>
    <row r="74" spans="1:6">
      <c r="A74" s="1282" t="s">
        <v>63</v>
      </c>
      <c r="B74" s="1282" t="s">
        <v>760</v>
      </c>
      <c r="C74" s="1296" t="s">
        <v>761</v>
      </c>
      <c r="D74" s="1297">
        <v>28323851.101285212</v>
      </c>
      <c r="E74" s="447"/>
      <c r="F74" s="326"/>
    </row>
    <row r="75" spans="1:6">
      <c r="A75" s="1282" t="s">
        <v>64</v>
      </c>
      <c r="B75" s="1282" t="s">
        <v>758</v>
      </c>
      <c r="C75" s="1296" t="s">
        <v>762</v>
      </c>
      <c r="D75" s="1297">
        <v>90269965</v>
      </c>
      <c r="E75" s="447"/>
      <c r="F75" s="326"/>
    </row>
    <row r="76" spans="1:6">
      <c r="A76" s="1282" t="s">
        <v>64</v>
      </c>
      <c r="B76" s="1282" t="s">
        <v>760</v>
      </c>
      <c r="C76" s="1296" t="s">
        <v>763</v>
      </c>
      <c r="D76" s="1297">
        <v>2452369.1012852136</v>
      </c>
      <c r="E76" s="447"/>
      <c r="F76" s="326"/>
    </row>
    <row r="77" spans="1:6">
      <c r="A77" s="1282" t="s">
        <v>65</v>
      </c>
      <c r="B77" s="1282" t="s">
        <v>758</v>
      </c>
      <c r="C77" s="1296" t="s">
        <v>764</v>
      </c>
      <c r="D77" s="1297">
        <v>257421319</v>
      </c>
      <c r="E77" s="447"/>
      <c r="F77" s="326"/>
    </row>
    <row r="78" spans="1:6">
      <c r="A78" s="1277" t="s">
        <v>65</v>
      </c>
      <c r="B78" s="1277" t="s">
        <v>760</v>
      </c>
      <c r="C78" s="1277" t="s">
        <v>765</v>
      </c>
      <c r="D78" s="1298">
        <v>73255058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3251555.7974295733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9911.2119547937709</v>
      </c>
      <c r="C90" s="326"/>
      <c r="D90" s="326"/>
      <c r="E90" s="326"/>
      <c r="F90" s="326"/>
    </row>
    <row r="91" spans="1:6">
      <c r="A91" s="1282" t="s">
        <v>67</v>
      </c>
      <c r="B91" s="1283">
        <v>4577.8377722057048</v>
      </c>
      <c r="C91" s="326"/>
      <c r="D91" s="326"/>
      <c r="E91" s="326"/>
      <c r="F91" s="326"/>
    </row>
    <row r="92" spans="1:6">
      <c r="A92" s="1277" t="s">
        <v>68</v>
      </c>
      <c r="B92" s="1278">
        <v>4355.1334896599064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19024</v>
      </c>
      <c r="C97" s="326"/>
      <c r="D97" s="326"/>
      <c r="E97" s="326"/>
      <c r="F97" s="326"/>
    </row>
    <row r="98" spans="1:6">
      <c r="A98" s="1282" t="s">
        <v>71</v>
      </c>
      <c r="B98" s="1283">
        <v>7</v>
      </c>
      <c r="C98" s="326"/>
      <c r="D98" s="326"/>
      <c r="E98" s="326"/>
      <c r="F98" s="326"/>
    </row>
    <row r="99" spans="1:6">
      <c r="A99" s="1282" t="s">
        <v>72</v>
      </c>
      <c r="B99" s="1283">
        <v>196</v>
      </c>
      <c r="C99" s="326"/>
      <c r="D99" s="326"/>
      <c r="E99" s="326"/>
      <c r="F99" s="326"/>
    </row>
    <row r="100" spans="1:6">
      <c r="A100" s="1282" t="s">
        <v>73</v>
      </c>
      <c r="B100" s="1283">
        <v>2575</v>
      </c>
      <c r="C100" s="326"/>
      <c r="D100" s="326"/>
      <c r="E100" s="326"/>
      <c r="F100" s="326"/>
    </row>
    <row r="101" spans="1:6">
      <c r="A101" s="1282" t="s">
        <v>74</v>
      </c>
      <c r="B101" s="1283">
        <v>278</v>
      </c>
      <c r="C101" s="326"/>
      <c r="D101" s="326"/>
      <c r="E101" s="326"/>
      <c r="F101" s="326"/>
    </row>
    <row r="102" spans="1:6">
      <c r="A102" s="1282" t="s">
        <v>75</v>
      </c>
      <c r="B102" s="1283">
        <v>715</v>
      </c>
      <c r="C102" s="326"/>
      <c r="D102" s="326"/>
      <c r="E102" s="326"/>
      <c r="F102" s="326"/>
    </row>
    <row r="103" spans="1:6">
      <c r="A103" s="1282" t="s">
        <v>76</v>
      </c>
      <c r="B103" s="1283">
        <v>618</v>
      </c>
      <c r="C103" s="326"/>
      <c r="D103" s="326"/>
      <c r="E103" s="326"/>
      <c r="F103" s="326"/>
    </row>
    <row r="104" spans="1:6">
      <c r="A104" s="1282" t="s">
        <v>77</v>
      </c>
      <c r="B104" s="1283">
        <v>6763</v>
      </c>
      <c r="C104" s="326"/>
      <c r="D104" s="326"/>
      <c r="E104" s="326"/>
      <c r="F104" s="326"/>
    </row>
    <row r="105" spans="1:6">
      <c r="A105" s="1277" t="s">
        <v>78</v>
      </c>
      <c r="B105" s="1286">
        <v>22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10</v>
      </c>
      <c r="D123" s="326"/>
      <c r="E123" s="326"/>
      <c r="F123" s="326"/>
    </row>
    <row r="124" spans="1:6" s="43" customFormat="1">
      <c r="A124" s="1284" t="s">
        <v>88</v>
      </c>
      <c r="B124" s="1305">
        <v>1</v>
      </c>
      <c r="C124" s="1305">
        <v>2</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163</v>
      </c>
      <c r="C129" s="326"/>
      <c r="D129" s="326"/>
      <c r="E129" s="326"/>
      <c r="F129" s="326"/>
    </row>
    <row r="130" spans="1:6">
      <c r="A130" s="1282" t="s">
        <v>290</v>
      </c>
      <c r="B130" s="1283">
        <v>6</v>
      </c>
      <c r="C130" s="326"/>
      <c r="D130" s="326"/>
      <c r="E130" s="326"/>
      <c r="F130" s="326"/>
    </row>
    <row r="131" spans="1:6">
      <c r="A131" s="1282" t="s">
        <v>291</v>
      </c>
      <c r="B131" s="1283">
        <v>6</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440097.01048978121</v>
      </c>
      <c r="C3" s="43" t="s">
        <v>169</v>
      </c>
      <c r="D3" s="43"/>
      <c r="E3" s="156"/>
      <c r="F3" s="43"/>
      <c r="G3" s="43"/>
      <c r="H3" s="43"/>
      <c r="I3" s="43"/>
      <c r="J3" s="43"/>
      <c r="K3" s="96"/>
    </row>
    <row r="4" spans="1:11">
      <c r="A4" s="354" t="s">
        <v>170</v>
      </c>
      <c r="B4" s="49">
        <f>IF(ISERROR('SEAP template'!B78+'SEAP template'!C78),0,'SEAP template'!B78+'SEAP template'!C78)</f>
        <v>19485.433216659381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152.39117647058828</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0.21156142290130919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217.70168067226894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916.07142857142856</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6870.2560000000003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6870.2560000000003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0.21156142290130919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1453.481135056257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118647.22557445725</v>
      </c>
      <c r="C5" s="17">
        <f>IF(ISERROR('Eigen informatie GS &amp; warmtenet'!B57),0,'Eigen informatie GS &amp; warmtenet'!B57)</f>
        <v>0</v>
      </c>
      <c r="D5" s="30">
        <f>(SUM(HH_hh_gas_kWh,HH_rest_gas_kWh)/1000)*0.902</f>
        <v>320805.43016358261</v>
      </c>
      <c r="E5" s="17">
        <f>B32*B41</f>
        <v>4769.4411081512908</v>
      </c>
      <c r="F5" s="17">
        <f>B36*B45</f>
        <v>162801.98977438995</v>
      </c>
      <c r="G5" s="18"/>
      <c r="H5" s="17"/>
      <c r="I5" s="17"/>
      <c r="J5" s="17">
        <f>B35*B44+C35*C44</f>
        <v>3665.888059921223</v>
      </c>
      <c r="K5" s="17"/>
      <c r="L5" s="17"/>
      <c r="M5" s="17"/>
      <c r="N5" s="17">
        <f>B34*B43+C34*C43</f>
        <v>37927.625168483937</v>
      </c>
      <c r="O5" s="17">
        <f>B52*B53*B54</f>
        <v>273.58333333333331</v>
      </c>
      <c r="P5" s="17">
        <f>B60*B61*B62/1000-B60*B61*B62/1000/B63</f>
        <v>286</v>
      </c>
    </row>
    <row r="6" spans="1:16">
      <c r="A6" s="16" t="s">
        <v>621</v>
      </c>
      <c r="B6" s="768">
        <f>kWh_PV_kleiner_dan_10kW</f>
        <v>4577.8377722057048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123225.06334666295</v>
      </c>
      <c r="C8" s="21">
        <f>C5</f>
        <v>0</v>
      </c>
      <c r="D8" s="21">
        <f>D5</f>
        <v>320805.43016358261</v>
      </c>
      <c r="E8" s="21">
        <f>E5</f>
        <v>4769.4411081512908</v>
      </c>
      <c r="F8" s="21">
        <f>F5</f>
        <v>162801.98977438995</v>
      </c>
      <c r="G8" s="21"/>
      <c r="H8" s="21"/>
      <c r="I8" s="21"/>
      <c r="J8" s="21">
        <f>J5</f>
        <v>3665.888059921223</v>
      </c>
      <c r="K8" s="21"/>
      <c r="L8" s="21">
        <f>L5</f>
        <v>0</v>
      </c>
      <c r="M8" s="21">
        <f>M5</f>
        <v>0</v>
      </c>
      <c r="N8" s="21">
        <f>N5</f>
        <v>37927.625168483937</v>
      </c>
      <c r="O8" s="21">
        <f>O5</f>
        <v>273.58333333333331</v>
      </c>
      <c r="P8" s="21">
        <f>P5</f>
        <v>286</v>
      </c>
    </row>
    <row r="9" spans="1:16">
      <c r="B9" s="19"/>
      <c r="C9" s="19"/>
      <c r="D9" s="256"/>
      <c r="E9" s="19"/>
      <c r="F9" s="19"/>
      <c r="G9" s="19"/>
      <c r="H9" s="19"/>
      <c r="I9" s="19"/>
      <c r="J9" s="19"/>
      <c r="K9" s="19"/>
      <c r="L9" s="19"/>
      <c r="M9" s="19"/>
      <c r="N9" s="19"/>
      <c r="O9" s="19"/>
      <c r="P9" s="19"/>
    </row>
    <row r="10" spans="1:16">
      <c r="A10" s="24" t="s">
        <v>213</v>
      </c>
      <c r="B10" s="25">
        <f ca="1">'EF ele_warmte'!B12</f>
        <v>0.21156142290130919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26069.669738723976</v>
      </c>
      <c r="C12" s="23">
        <f ca="1">C10*C8</f>
        <v>0</v>
      </c>
      <c r="D12" s="23">
        <f>D8*D10</f>
        <v>64802.696893043692</v>
      </c>
      <c r="E12" s="23">
        <f>E10*E8</f>
        <v>1082.663131550343</v>
      </c>
      <c r="F12" s="23">
        <f>F10*F8</f>
        <v>43468.131269762118</v>
      </c>
      <c r="G12" s="23"/>
      <c r="H12" s="23"/>
      <c r="I12" s="23"/>
      <c r="J12" s="23">
        <f>J10*J8</f>
        <v>1297.7243732121128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32508</v>
      </c>
      <c r="C26" s="36"/>
      <c r="D26" s="226"/>
    </row>
    <row r="27" spans="1:5" s="15" customFormat="1">
      <c r="A27" s="228" t="s">
        <v>701</v>
      </c>
      <c r="B27" s="37">
        <f>SUM(HH_hh_gas_aantal,HH_rest_gas_aantal)</f>
        <v>23802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22611.9</v>
      </c>
      <c r="C31" s="34" t="s">
        <v>110</v>
      </c>
      <c r="D31" s="172"/>
    </row>
    <row r="32" spans="1:5">
      <c r="A32" s="169" t="s">
        <v>72</v>
      </c>
      <c r="B32" s="33">
        <f>IF((B21*($B$26-($B$27-0.05*$B$27)-$B$60))&lt;0,0,B21*($B$26-($B$27-0.05*$B$27)-$B$60))</f>
        <v>70.052736800536934</v>
      </c>
      <c r="C32" s="34" t="s">
        <v>110</v>
      </c>
      <c r="D32" s="172"/>
    </row>
    <row r="33" spans="1:6">
      <c r="A33" s="169" t="s">
        <v>73</v>
      </c>
      <c r="B33" s="33">
        <f>IF((B22*($B$26-($B$27-0.05*$B$27)-$B$60))&lt;0,0,B22*($B$26-($B$27-0.05*$B$27)-$B$60))</f>
        <v>2007.7019057187904</v>
      </c>
      <c r="C33" s="34" t="s">
        <v>110</v>
      </c>
      <c r="D33" s="172"/>
    </row>
    <row r="34" spans="1:6">
      <c r="A34" s="169" t="s">
        <v>74</v>
      </c>
      <c r="B34" s="33">
        <f>IF((B24*($B$26-($B$27-0.05*$B$27)-$B$60))&lt;0,0,B24*($B$26-($B$27-0.05*$B$27)-$B$60))</f>
        <v>400.35697803473226</v>
      </c>
      <c r="C34" s="33">
        <f>B26*C24</f>
        <v>6647.1582996428151</v>
      </c>
      <c r="D34" s="231"/>
    </row>
    <row r="35" spans="1:6">
      <c r="A35" s="169" t="s">
        <v>76</v>
      </c>
      <c r="B35" s="33">
        <f>IF((B19*($B$26-($B$27-0.05*$B$27)-$B$60))&lt;0,0,B19*($B$26-($B$27-0.05*$B$27)-$B$60))</f>
        <v>208.49028809683617</v>
      </c>
      <c r="C35" s="33">
        <f>B35/2</f>
        <v>104.24514404841808</v>
      </c>
      <c r="D35" s="231"/>
    </row>
    <row r="36" spans="1:6">
      <c r="A36" s="169" t="s">
        <v>77</v>
      </c>
      <c r="B36" s="33">
        <f>IF((B18*($B$26-($B$27-0.05*$B$27)-$B$60))&lt;0,0,B18*($B$26-($B$27-0.05*$B$27)-$B$60))</f>
        <v>7194.4980913491027</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175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179211.87865137099</v>
      </c>
      <c r="C5" s="17">
        <f>IF(ISERROR('Eigen informatie GS &amp; warmtenet'!B58),0,'Eigen informatie GS &amp; warmtenet'!B58)</f>
        <v>0</v>
      </c>
      <c r="D5" s="30">
        <f>SUM(D6:D12)</f>
        <v>207076.67068940302</v>
      </c>
      <c r="E5" s="17">
        <f>SUM(E6:E12)</f>
        <v>3268.9261229168756</v>
      </c>
      <c r="F5" s="17">
        <f>SUM(F6:F12)</f>
        <v>37440.289980143112</v>
      </c>
      <c r="G5" s="18"/>
      <c r="H5" s="17"/>
      <c r="I5" s="17"/>
      <c r="J5" s="17">
        <f>SUM(J6:J12)</f>
        <v>0</v>
      </c>
      <c r="K5" s="17"/>
      <c r="L5" s="17"/>
      <c r="M5" s="17"/>
      <c r="N5" s="17">
        <f>SUM(N6:N12)</f>
        <v>5196.3006599558239</v>
      </c>
      <c r="O5" s="17">
        <f>B38*B39*B40</f>
        <v>9.3800000000000008</v>
      </c>
      <c r="P5" s="17">
        <f>B46*B47*B48/1000-B46*B47*B48/1000/B49</f>
        <v>114.4</v>
      </c>
      <c r="R5" s="32"/>
    </row>
    <row r="6" spans="1:18">
      <c r="A6" s="32" t="s">
        <v>53</v>
      </c>
      <c r="B6" s="37">
        <f>B26</f>
        <v>49895.444535402603</v>
      </c>
      <c r="C6" s="33"/>
      <c r="D6" s="37">
        <f>IF(ISERROR(TER_kantoor_gas_kWh/1000),0,TER_kantoor_gas_kWh/1000)*0.902</f>
        <v>58600.583825097383</v>
      </c>
      <c r="E6" s="33">
        <f>$C$26*'E Balans VL '!I12/100/3.6*1000000</f>
        <v>1746.5368347761469</v>
      </c>
      <c r="F6" s="33">
        <f>$C$26*('E Balans VL '!L12+'E Balans VL '!N12)/100/3.6*1000000</f>
        <v>7565.2206362639754</v>
      </c>
      <c r="G6" s="34"/>
      <c r="H6" s="33"/>
      <c r="I6" s="33"/>
      <c r="J6" s="33">
        <f>$C$26*('E Balans VL '!D12+'E Balans VL '!E12)/100/3.6*1000000</f>
        <v>0</v>
      </c>
      <c r="K6" s="33"/>
      <c r="L6" s="33"/>
      <c r="M6" s="33"/>
      <c r="N6" s="33">
        <f>$C$26*'E Balans VL '!Y12/100/3.6*1000000</f>
        <v>385.67616941431754</v>
      </c>
      <c r="O6" s="33"/>
      <c r="P6" s="33"/>
      <c r="R6" s="32"/>
    </row>
    <row r="7" spans="1:18">
      <c r="A7" s="32" t="s">
        <v>52</v>
      </c>
      <c r="B7" s="37">
        <f t="shared" ref="B7:B12" si="0">B27</f>
        <v>13561.439206773501</v>
      </c>
      <c r="C7" s="33"/>
      <c r="D7" s="37">
        <f>IF(ISERROR(TER_horeca_gas_kWh/1000),0,TER_horeca_gas_kWh/1000)*0.902</f>
        <v>14567.656936718846</v>
      </c>
      <c r="E7" s="33">
        <f>$C$27*'E Balans VL '!I9/100/3.6*1000000</f>
        <v>765.04549448732882</v>
      </c>
      <c r="F7" s="33">
        <f>$C$27*('E Balans VL '!L9+'E Balans VL '!N9)/100/3.6*1000000</f>
        <v>2362.4777597881098</v>
      </c>
      <c r="G7" s="34"/>
      <c r="H7" s="33"/>
      <c r="I7" s="33"/>
      <c r="J7" s="33">
        <f>$C$27*('E Balans VL '!D9+'E Balans VL '!E9)/100/3.6*1000000</f>
        <v>0</v>
      </c>
      <c r="K7" s="33"/>
      <c r="L7" s="33"/>
      <c r="M7" s="33"/>
      <c r="N7" s="33">
        <f>$C$27*'E Balans VL '!Y9/100/3.6*1000000</f>
        <v>0</v>
      </c>
      <c r="O7" s="33"/>
      <c r="P7" s="33"/>
      <c r="R7" s="32"/>
    </row>
    <row r="8" spans="1:18">
      <c r="A8" s="6" t="s">
        <v>51</v>
      </c>
      <c r="B8" s="37">
        <f t="shared" si="0"/>
        <v>44689.565820419601</v>
      </c>
      <c r="C8" s="33"/>
      <c r="D8" s="37">
        <f>IF(ISERROR(TER_handel_gas_kWh/1000),0,TER_handel_gas_kWh/1000)*0.902</f>
        <v>37358.66952500007</v>
      </c>
      <c r="E8" s="33">
        <f>$C$28*'E Balans VL '!I13/100/3.6*1000000</f>
        <v>229.43169052799789</v>
      </c>
      <c r="F8" s="33">
        <f>$C$28*('E Balans VL '!L13+'E Balans VL '!N13)/100/3.6*1000000</f>
        <v>6890.4405248313224</v>
      </c>
      <c r="G8" s="34"/>
      <c r="H8" s="33"/>
      <c r="I8" s="33"/>
      <c r="J8" s="33">
        <f>$C$28*('E Balans VL '!D13+'E Balans VL '!E13)/100/3.6*1000000</f>
        <v>0</v>
      </c>
      <c r="K8" s="33"/>
      <c r="L8" s="33"/>
      <c r="M8" s="33"/>
      <c r="N8" s="33">
        <f>$C$28*'E Balans VL '!Y13/100/3.6*1000000</f>
        <v>20.901855443788719</v>
      </c>
      <c r="O8" s="33"/>
      <c r="P8" s="33"/>
      <c r="R8" s="32"/>
    </row>
    <row r="9" spans="1:18">
      <c r="A9" s="32" t="s">
        <v>50</v>
      </c>
      <c r="B9" s="37">
        <f t="shared" si="0"/>
        <v>27047.6859909382</v>
      </c>
      <c r="C9" s="33"/>
      <c r="D9" s="37">
        <f>IF(ISERROR(TER_gezond_gas_kWh/1000),0,TER_gezond_gas_kWh/1000)*0.902</f>
        <v>36691.32372000561</v>
      </c>
      <c r="E9" s="33">
        <f>$C$29*'E Balans VL '!I10/100/3.6*1000000</f>
        <v>11.211073216527957</v>
      </c>
      <c r="F9" s="33">
        <f>$C$29*('E Balans VL '!L10+'E Balans VL '!N10)/100/3.6*1000000</f>
        <v>6661.4571440059326</v>
      </c>
      <c r="G9" s="34"/>
      <c r="H9" s="33"/>
      <c r="I9" s="33"/>
      <c r="J9" s="33">
        <f>$C$29*('E Balans VL '!D10+'E Balans VL '!E10)/100/3.6*1000000</f>
        <v>0</v>
      </c>
      <c r="K9" s="33"/>
      <c r="L9" s="33"/>
      <c r="M9" s="33"/>
      <c r="N9" s="33">
        <f>$C$29*'E Balans VL '!Y10/100/3.6*1000000</f>
        <v>233.75895336868189</v>
      </c>
      <c r="O9" s="33"/>
      <c r="P9" s="33"/>
      <c r="R9" s="32"/>
    </row>
    <row r="10" spans="1:18">
      <c r="A10" s="32" t="s">
        <v>49</v>
      </c>
      <c r="B10" s="37">
        <f t="shared" si="0"/>
        <v>17343.776553338099</v>
      </c>
      <c r="C10" s="33"/>
      <c r="D10" s="37">
        <f>IF(ISERROR(TER_ander_gas_kWh/1000),0,TER_ander_gas_kWh/1000)*0.902</f>
        <v>27518.780205347641</v>
      </c>
      <c r="E10" s="33">
        <f>$C$30*'E Balans VL '!I14/100/3.6*1000000</f>
        <v>105.72808978690061</v>
      </c>
      <c r="F10" s="33">
        <f>$C$30*('E Balans VL '!L14+'E Balans VL '!N14)/100/3.6*1000000</f>
        <v>4598.0727470785241</v>
      </c>
      <c r="G10" s="34"/>
      <c r="H10" s="33"/>
      <c r="I10" s="33"/>
      <c r="J10" s="33">
        <f>$C$30*('E Balans VL '!D14+'E Balans VL '!E14)/100/3.6*1000000</f>
        <v>0</v>
      </c>
      <c r="K10" s="33"/>
      <c r="L10" s="33"/>
      <c r="M10" s="33"/>
      <c r="N10" s="33">
        <f>$C$30*'E Balans VL '!Y14/100/3.6*1000000</f>
        <v>3997.3657241178717</v>
      </c>
      <c r="O10" s="33"/>
      <c r="P10" s="33"/>
      <c r="R10" s="32"/>
    </row>
    <row r="11" spans="1:18">
      <c r="A11" s="32" t="s">
        <v>54</v>
      </c>
      <c r="B11" s="37">
        <f t="shared" si="0"/>
        <v>7788.49599598439</v>
      </c>
      <c r="C11" s="33"/>
      <c r="D11" s="37">
        <f>IF(ISERROR(TER_onderwijs_gas_kWh/1000),0,TER_onderwijs_gas_kWh/1000)*0.902</f>
        <v>19403.069602090982</v>
      </c>
      <c r="E11" s="33">
        <f>$C$31*'E Balans VL '!I11/100/3.6*1000000</f>
        <v>5.9352395002109963</v>
      </c>
      <c r="F11" s="33">
        <f>$C$31*('E Balans VL '!L11+'E Balans VL '!N11)/100/3.6*1000000</f>
        <v>5636.1825300342434</v>
      </c>
      <c r="G11" s="34"/>
      <c r="H11" s="33"/>
      <c r="I11" s="33"/>
      <c r="J11" s="33">
        <f>$C$31*('E Balans VL '!D11+'E Balans VL '!E11)/100/3.6*1000000</f>
        <v>0</v>
      </c>
      <c r="K11" s="33"/>
      <c r="L11" s="33"/>
      <c r="M11" s="33"/>
      <c r="N11" s="33">
        <f>$C$31*'E Balans VL '!Y11/100/3.6*1000000</f>
        <v>22.954559116790367</v>
      </c>
      <c r="O11" s="33"/>
      <c r="P11" s="33"/>
      <c r="R11" s="32"/>
    </row>
    <row r="12" spans="1:18">
      <c r="A12" s="32" t="s">
        <v>255</v>
      </c>
      <c r="B12" s="37">
        <f t="shared" si="0"/>
        <v>18885.470548514601</v>
      </c>
      <c r="C12" s="33"/>
      <c r="D12" s="37">
        <f>IF(ISERROR(TER_rest_gas_kWh/1000),0,TER_rest_gas_kWh/1000)*0.902</f>
        <v>12936.58687514249</v>
      </c>
      <c r="E12" s="33">
        <f>$C$32*'E Balans VL '!I8/100/3.6*1000000</f>
        <v>405.03770062176244</v>
      </c>
      <c r="F12" s="33">
        <f>$C$32*('E Balans VL '!L8+'E Balans VL '!N8)/100/3.6*1000000</f>
        <v>3726.4386381409977</v>
      </c>
      <c r="G12" s="34"/>
      <c r="H12" s="33"/>
      <c r="I12" s="33"/>
      <c r="J12" s="33">
        <f>$C$32*('E Balans VL '!D8+'E Balans VL '!E8)/100/3.6*1000000</f>
        <v>0</v>
      </c>
      <c r="K12" s="33"/>
      <c r="L12" s="33"/>
      <c r="M12" s="33"/>
      <c r="N12" s="33">
        <f>$C$32*'E Balans VL '!Y8/100/3.6*1000000</f>
        <v>535.64339849437329</v>
      </c>
      <c r="O12" s="33"/>
      <c r="P12" s="33"/>
      <c r="R12" s="32"/>
    </row>
    <row r="13" spans="1:18">
      <c r="A13" s="16" t="s">
        <v>489</v>
      </c>
      <c r="B13" s="244">
        <f ca="1">'lokale energieproductie'!N38+'lokale energieproductie'!N31</f>
        <v>641.25</v>
      </c>
      <c r="C13" s="244">
        <f ca="1">'lokale energieproductie'!O38+'lokale energieproductie'!O31</f>
        <v>916.07142857142856</v>
      </c>
      <c r="D13" s="304">
        <f ca="1">('lokale energieproductie'!P31+'lokale energieproductie'!P38)*(-1)</f>
        <v>-1832.1428571428573</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179853.12865137099</v>
      </c>
      <c r="C16" s="21">
        <f ca="1">C5+C13+C14</f>
        <v>916.07142857142856</v>
      </c>
      <c r="D16" s="21">
        <f t="shared" ref="D16:N16" ca="1" si="1">MAX((D5+D13+D14),0)</f>
        <v>205244.52783226015</v>
      </c>
      <c r="E16" s="21">
        <f t="shared" si="1"/>
        <v>3268.9261229168756</v>
      </c>
      <c r="F16" s="21">
        <f t="shared" ca="1" si="1"/>
        <v>37440.289980143112</v>
      </c>
      <c r="G16" s="21">
        <f t="shared" si="1"/>
        <v>0</v>
      </c>
      <c r="H16" s="21">
        <f t="shared" si="1"/>
        <v>0</v>
      </c>
      <c r="I16" s="21">
        <f t="shared" si="1"/>
        <v>0</v>
      </c>
      <c r="J16" s="21">
        <f t="shared" si="1"/>
        <v>0</v>
      </c>
      <c r="K16" s="21">
        <f t="shared" si="1"/>
        <v>0</v>
      </c>
      <c r="L16" s="21">
        <f t="shared" ca="1" si="1"/>
        <v>0</v>
      </c>
      <c r="M16" s="21">
        <f t="shared" si="1"/>
        <v>0</v>
      </c>
      <c r="N16" s="21">
        <f t="shared" ca="1" si="1"/>
        <v>5196.3006599558239</v>
      </c>
      <c r="O16" s="21">
        <f>O5</f>
        <v>9.3800000000000008</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0.21156142290130919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38049.983810736267</v>
      </c>
      <c r="C20" s="23">
        <f t="shared" ref="C20:P20" ca="1" si="2">C16*C18</f>
        <v>217.70168067226894</v>
      </c>
      <c r="D20" s="23">
        <f t="shared" ca="1" si="2"/>
        <v>41459.394622116553</v>
      </c>
      <c r="E20" s="23">
        <f t="shared" si="2"/>
        <v>742.04622990213079</v>
      </c>
      <c r="F20" s="23">
        <f t="shared" ca="1" si="2"/>
        <v>9996.5574246982123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49895.444535402603</v>
      </c>
      <c r="C26" s="39">
        <f>IF(ISERROR(B26*3.6/1000000/'E Balans VL '!Z12*100),0,B26*3.6/1000000/'E Balans VL '!Z12*100)</f>
        <v>1.0499668848812296</v>
      </c>
      <c r="D26" s="234" t="s">
        <v>706</v>
      </c>
      <c r="F26" s="6"/>
    </row>
    <row r="27" spans="1:18">
      <c r="A27" s="229" t="s">
        <v>52</v>
      </c>
      <c r="B27" s="33">
        <f>IF(ISERROR(TER_horeca_ele_kWh/1000),0,TER_horeca_ele_kWh/1000)</f>
        <v>13561.439206773501</v>
      </c>
      <c r="C27" s="39">
        <f>IF(ISERROR(B27*3.6/1000000/'E Balans VL '!Z9*100),0,B27*3.6/1000000/'E Balans VL '!Z9*100)</f>
        <v>1.1482089503462385</v>
      </c>
      <c r="D27" s="234" t="s">
        <v>706</v>
      </c>
      <c r="F27" s="6"/>
    </row>
    <row r="28" spans="1:18">
      <c r="A28" s="169" t="s">
        <v>51</v>
      </c>
      <c r="B28" s="33">
        <f>IF(ISERROR(TER_handel_ele_kWh/1000),0,TER_handel_ele_kWh/1000)</f>
        <v>44689.565820419601</v>
      </c>
      <c r="C28" s="39">
        <f>IF(ISERROR(B28*3.6/1000000/'E Balans VL '!Z13*100),0,B28*3.6/1000000/'E Balans VL '!Z13*100)</f>
        <v>1.2372244501078018</v>
      </c>
      <c r="D28" s="234" t="s">
        <v>706</v>
      </c>
      <c r="F28" s="6"/>
    </row>
    <row r="29" spans="1:18">
      <c r="A29" s="229" t="s">
        <v>50</v>
      </c>
      <c r="B29" s="33">
        <f>IF(ISERROR(TER_gezond_ele_kWh/1000),0,TER_gezond_ele_kWh/1000)</f>
        <v>27047.6859909382</v>
      </c>
      <c r="C29" s="39">
        <f>IF(ISERROR(B29*3.6/1000000/'E Balans VL '!Z10*100),0,B29*3.6/1000000/'E Balans VL '!Z10*100)</f>
        <v>3.5158993202623314</v>
      </c>
      <c r="D29" s="234" t="s">
        <v>706</v>
      </c>
      <c r="F29" s="6"/>
    </row>
    <row r="30" spans="1:18">
      <c r="A30" s="229" t="s">
        <v>49</v>
      </c>
      <c r="B30" s="33">
        <f>IF(ISERROR(TER_ander_ele_kWh/1000),0,TER_ander_ele_kWh/1000)</f>
        <v>17343.776553338099</v>
      </c>
      <c r="C30" s="39">
        <f>IF(ISERROR(B30*3.6/1000000/'E Balans VL '!Z14*100),0,B30*3.6/1000000/'E Balans VL '!Z14*100)</f>
        <v>1.3443017374650381</v>
      </c>
      <c r="D30" s="234" t="s">
        <v>706</v>
      </c>
      <c r="F30" s="6"/>
    </row>
    <row r="31" spans="1:18">
      <c r="A31" s="229" t="s">
        <v>54</v>
      </c>
      <c r="B31" s="33">
        <f>IF(ISERROR(TER_onderwijs_ele_kWh/1000),0,TER_onderwijs_ele_kWh/1000)</f>
        <v>7788.49599598439</v>
      </c>
      <c r="C31" s="39">
        <f>IF(ISERROR(B31*3.6/1000000/'E Balans VL '!Z11*100),0,B31*3.6/1000000/'E Balans VL '!Z11*100)</f>
        <v>1.4900719971950904</v>
      </c>
      <c r="D31" s="234" t="s">
        <v>706</v>
      </c>
    </row>
    <row r="32" spans="1:18">
      <c r="A32" s="229" t="s">
        <v>255</v>
      </c>
      <c r="B32" s="33">
        <f>IF(ISERROR(TER_rest_ele_kWh/1000),0,TER_rest_ele_kWh/1000)</f>
        <v>18885.470548514601</v>
      </c>
      <c r="C32" s="39">
        <f>IF(ISERROR(B32*3.6/1000000/'E Balans VL '!Z8*100),0,B32*3.6/1000000/'E Balans VL '!Z8*100)</f>
        <v>0.15572520711925625</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6</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6</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116427.08738893957</v>
      </c>
      <c r="C5" s="17">
        <f>IF(ISERROR('Eigen informatie GS &amp; warmtenet'!B59),0,'Eigen informatie GS &amp; warmtenet'!B59)</f>
        <v>0</v>
      </c>
      <c r="D5" s="30">
        <f>SUM(D6:D15)</f>
        <v>209295.371978682</v>
      </c>
      <c r="E5" s="17">
        <f>SUM(E6:E15)</f>
        <v>1396.8327364773061</v>
      </c>
      <c r="F5" s="17">
        <f>SUM(F6:F15)</f>
        <v>31643.26540644381</v>
      </c>
      <c r="G5" s="18"/>
      <c r="H5" s="17"/>
      <c r="I5" s="17"/>
      <c r="J5" s="17">
        <f>SUM(J6:J15)</f>
        <v>645.30662320852537</v>
      </c>
      <c r="K5" s="17"/>
      <c r="L5" s="17"/>
      <c r="M5" s="17"/>
      <c r="N5" s="17">
        <f>SUM(N6:N15)</f>
        <v>2657.1696108623719</v>
      </c>
      <c r="O5" s="17">
        <f>B43*B44*B45</f>
        <v>0</v>
      </c>
      <c r="P5" s="17">
        <f>B51*B52*B53/1000-B51*B52*B53/1000/B54</f>
        <v>0</v>
      </c>
      <c r="R5" s="32"/>
    </row>
    <row r="6" spans="1:18">
      <c r="A6" s="6" t="s">
        <v>34</v>
      </c>
      <c r="B6" s="37">
        <f>IF( ISERROR(IND_ijzer_ele_kWh/1000),0,IND_ijzer_ele_kWh/1000)</f>
        <v>313.47896591424802</v>
      </c>
      <c r="C6" s="33"/>
      <c r="D6" s="37">
        <f>IF( ISERROR(IND_ijzer_gas_kWh/1000),0,IND_ijzer_gas_kWh/1000)*0.902</f>
        <v>100.71655927987395</v>
      </c>
      <c r="E6" s="33"/>
      <c r="F6" s="33"/>
      <c r="G6" s="34"/>
      <c r="H6" s="33"/>
      <c r="I6" s="33"/>
      <c r="J6" s="40"/>
      <c r="K6" s="33"/>
      <c r="L6" s="33"/>
      <c r="M6" s="33"/>
      <c r="N6" s="33"/>
      <c r="O6" s="33"/>
      <c r="P6" s="33"/>
      <c r="R6" s="32"/>
    </row>
    <row r="7" spans="1:18">
      <c r="A7" s="6" t="s">
        <v>37</v>
      </c>
      <c r="B7" s="37">
        <f t="shared" ref="B7:B15" si="0">B29</f>
        <v>44.253033185510404</v>
      </c>
      <c r="C7" s="33"/>
      <c r="D7" s="37">
        <f>IF( ISERROR(IND_nonf_gas_kWhh/1000),0,IND_nonf_gas_kWh/1000)*0.902</f>
        <v>0</v>
      </c>
      <c r="E7" s="33">
        <f>C29*'E Balans VL '!I17/100/3.6*1000000</f>
        <v>3.7284725845388861E-2</v>
      </c>
      <c r="F7" s="33">
        <f>C29*'E Balans VL '!L17/100/3.6*1000000+C29*'E Balans VL '!N17/100/3.6*1000000</f>
        <v>15.305794059222904</v>
      </c>
      <c r="G7" s="34"/>
      <c r="H7" s="33"/>
      <c r="I7" s="33"/>
      <c r="J7" s="40">
        <f>C29*'E Balans VL '!D17/100/3.6*1000000+C29*'E Balans VL '!E17/100/3.6*1000000</f>
        <v>8.30831666665682</v>
      </c>
      <c r="K7" s="33"/>
      <c r="L7" s="33"/>
      <c r="M7" s="33"/>
      <c r="N7" s="33">
        <f>C29*'E Balans VL '!Y17/100/3.6*1000000</f>
        <v>0</v>
      </c>
      <c r="O7" s="33"/>
      <c r="P7" s="33"/>
      <c r="R7" s="32"/>
    </row>
    <row r="8" spans="1:18">
      <c r="A8" s="6" t="s">
        <v>35</v>
      </c>
      <c r="B8" s="37">
        <f t="shared" si="0"/>
        <v>9336.6198995355917</v>
      </c>
      <c r="C8" s="33"/>
      <c r="D8" s="37">
        <f>IF( ISERROR(IND_metaal_Gas_kWH/1000),0,IND_metaal_Gas_kWH/1000)*0.902</f>
        <v>5307.7928020098661</v>
      </c>
      <c r="E8" s="33">
        <f>C30*'E Balans VL '!I18/100/3.6*1000000</f>
        <v>65.606368002299348</v>
      </c>
      <c r="F8" s="33">
        <f>C30*'E Balans VL '!L18/100/3.6*1000000+C30*'E Balans VL '!N18/100/3.6*1000000</f>
        <v>1025.106240365976</v>
      </c>
      <c r="G8" s="34"/>
      <c r="H8" s="33"/>
      <c r="I8" s="33"/>
      <c r="J8" s="40">
        <f>C30*'E Balans VL '!D18/100/3.6*1000000+C30*'E Balans VL '!E18/100/3.6*1000000</f>
        <v>192.63459260113282</v>
      </c>
      <c r="K8" s="33"/>
      <c r="L8" s="33"/>
      <c r="M8" s="33"/>
      <c r="N8" s="33">
        <f>C30*'E Balans VL '!Y18/100/3.6*1000000</f>
        <v>34.99432380610331</v>
      </c>
      <c r="O8" s="33"/>
      <c r="P8" s="33"/>
      <c r="R8" s="32"/>
    </row>
    <row r="9" spans="1:18">
      <c r="A9" s="6" t="s">
        <v>32</v>
      </c>
      <c r="B9" s="37">
        <f t="shared" si="0"/>
        <v>18338.721744815201</v>
      </c>
      <c r="C9" s="33"/>
      <c r="D9" s="37">
        <f>IF( ISERROR(IND_andere_gas_kWh/1000),0,IND_andere_gas_kWh/1000)*0.902</f>
        <v>8166.1719986466396</v>
      </c>
      <c r="E9" s="33">
        <f>C31*'E Balans VL '!I19/100/3.6*1000000</f>
        <v>308.02129735559708</v>
      </c>
      <c r="F9" s="33">
        <f>C31*'E Balans VL '!L19/100/3.6*1000000+C31*'E Balans VL '!N19/100/3.6*1000000</f>
        <v>14336.168164495895</v>
      </c>
      <c r="G9" s="34"/>
      <c r="H9" s="33"/>
      <c r="I9" s="33"/>
      <c r="J9" s="40">
        <f>C31*'E Balans VL '!D19/100/3.6*1000000+C31*'E Balans VL '!E19/100/3.6*1000000</f>
        <v>1.6539908184266641</v>
      </c>
      <c r="K9" s="33"/>
      <c r="L9" s="33"/>
      <c r="M9" s="33"/>
      <c r="N9" s="33">
        <f>C31*'E Balans VL '!Y19/100/3.6*1000000</f>
        <v>1359.193500178975</v>
      </c>
      <c r="O9" s="33"/>
      <c r="P9" s="33"/>
      <c r="R9" s="32"/>
    </row>
    <row r="10" spans="1:18">
      <c r="A10" s="6" t="s">
        <v>40</v>
      </c>
      <c r="B10" s="37">
        <f t="shared" si="0"/>
        <v>9011.1971499092706</v>
      </c>
      <c r="C10" s="33"/>
      <c r="D10" s="37">
        <f>IF( ISERROR(IND_voed_gas_kWh/1000),0,IND_voed_gas_kWh/1000)*0.902</f>
        <v>13069.85776352637</v>
      </c>
      <c r="E10" s="33">
        <f>C32*'E Balans VL '!I20/100/3.6*1000000</f>
        <v>82.214418192976595</v>
      </c>
      <c r="F10" s="33">
        <f>C32*'E Balans VL '!L20/100/3.6*1000000+C32*'E Balans VL '!N20/100/3.6*1000000</f>
        <v>1453.7879540325591</v>
      </c>
      <c r="G10" s="34"/>
      <c r="H10" s="33"/>
      <c r="I10" s="33"/>
      <c r="J10" s="40">
        <f>C32*'E Balans VL '!D20/100/3.6*1000000+C32*'E Balans VL '!E20/100/3.6*1000000</f>
        <v>37.114017890156376</v>
      </c>
      <c r="K10" s="33"/>
      <c r="L10" s="33"/>
      <c r="M10" s="33"/>
      <c r="N10" s="33">
        <f>C32*'E Balans VL '!Y20/100/3.6*1000000</f>
        <v>131.82670877479569</v>
      </c>
      <c r="O10" s="33"/>
      <c r="P10" s="33"/>
      <c r="R10" s="32"/>
    </row>
    <row r="11" spans="1:18">
      <c r="A11" s="6" t="s">
        <v>39</v>
      </c>
      <c r="B11" s="37">
        <f t="shared" si="0"/>
        <v>6752.7499444104706</v>
      </c>
      <c r="C11" s="33"/>
      <c r="D11" s="37">
        <f>IF( ISERROR(IND_textiel_gas_kWh/1000),0,IND_textiel_gas_kWh/1000)*0.902</f>
        <v>201.41520025856295</v>
      </c>
      <c r="E11" s="33">
        <f>C33*'E Balans VL '!I21/100/3.6*1000000</f>
        <v>15.401770041640015</v>
      </c>
      <c r="F11" s="33">
        <f>C33*'E Balans VL '!L21/100/3.6*1000000+C33*'E Balans VL '!N21/100/3.6*1000000</f>
        <v>144.34629320913092</v>
      </c>
      <c r="G11" s="34"/>
      <c r="H11" s="33"/>
      <c r="I11" s="33"/>
      <c r="J11" s="40">
        <f>C33*'E Balans VL '!D21/100/3.6*1000000+C33*'E Balans VL '!E21/100/3.6*1000000</f>
        <v>0</v>
      </c>
      <c r="K11" s="33"/>
      <c r="L11" s="33"/>
      <c r="M11" s="33"/>
      <c r="N11" s="33">
        <f>C33*'E Balans VL '!Y21/100/3.6*1000000</f>
        <v>47.903097095219771</v>
      </c>
      <c r="O11" s="33"/>
      <c r="P11" s="33"/>
      <c r="R11" s="32"/>
    </row>
    <row r="12" spans="1:18">
      <c r="A12" s="6" t="s">
        <v>36</v>
      </c>
      <c r="B12" s="37">
        <f t="shared" si="0"/>
        <v>50.134950665166798</v>
      </c>
      <c r="C12" s="33"/>
      <c r="D12" s="37">
        <f>IF( ISERROR(IND_min_gas_kWh/1000),0,IND_min_gas_kWh/1000)*0.902</f>
        <v>207.31898390519245</v>
      </c>
      <c r="E12" s="33">
        <f>C34*'E Balans VL '!I22/100/3.6*1000000</f>
        <v>1.243509767643068</v>
      </c>
      <c r="F12" s="33">
        <f>C34*'E Balans VL '!L22/100/3.6*1000000+C34*'E Balans VL '!N22/100/3.6*1000000</f>
        <v>5.3273185501391032</v>
      </c>
      <c r="G12" s="34"/>
      <c r="H12" s="33"/>
      <c r="I12" s="33"/>
      <c r="J12" s="40">
        <f>C34*'E Balans VL '!D22/100/3.6*1000000+C34*'E Balans VL '!E22/100/3.6*1000000</f>
        <v>0.28479593707220424</v>
      </c>
      <c r="K12" s="33"/>
      <c r="L12" s="33"/>
      <c r="M12" s="33"/>
      <c r="N12" s="33">
        <f>C34*'E Balans VL '!Y22/100/3.6*1000000</f>
        <v>0</v>
      </c>
      <c r="O12" s="33"/>
      <c r="P12" s="33"/>
      <c r="R12" s="32"/>
    </row>
    <row r="13" spans="1:18">
      <c r="A13" s="6" t="s">
        <v>38</v>
      </c>
      <c r="B13" s="37">
        <f t="shared" si="0"/>
        <v>12385.411069776701</v>
      </c>
      <c r="C13" s="33"/>
      <c r="D13" s="37">
        <f>IF( ISERROR(IND_papier_gas_kWh/1000),0,IND_papier_gas_kWh/1000)*0.902</f>
        <v>12794.370807696219</v>
      </c>
      <c r="E13" s="33">
        <f>C35*'E Balans VL '!I23/100/3.6*1000000</f>
        <v>381.06677557290823</v>
      </c>
      <c r="F13" s="33">
        <f>C35*'E Balans VL '!L23/100/3.6*1000000+C35*'E Balans VL '!N23/100/3.6*1000000</f>
        <v>2629.8556146569936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60194.520630727406</v>
      </c>
      <c r="C15" s="33"/>
      <c r="D15" s="37">
        <f>IF( ISERROR(IND_rest_gas_kWh/1000),0,IND_rest_gas_kWh/1000)*0.902</f>
        <v>169447.72786335929</v>
      </c>
      <c r="E15" s="33">
        <f>C37*'E Balans VL '!I15/100/3.6*1000000</f>
        <v>543.24131281839641</v>
      </c>
      <c r="F15" s="33">
        <f>C37*'E Balans VL '!L15/100/3.6*1000000+C37*'E Balans VL '!N15/100/3.6*1000000</f>
        <v>12033.368027073895</v>
      </c>
      <c r="G15" s="34"/>
      <c r="H15" s="33"/>
      <c r="I15" s="33"/>
      <c r="J15" s="40">
        <f>C37*'E Balans VL '!D15/100/3.6*1000000+C37*'E Balans VL '!E15/100/3.6*1000000</f>
        <v>405.31090929508048</v>
      </c>
      <c r="K15" s="33"/>
      <c r="L15" s="33"/>
      <c r="M15" s="33"/>
      <c r="N15" s="33">
        <f>C37*'E Balans VL '!Y15/100/3.6*1000000</f>
        <v>1083.2519810072783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116427.08738893957</v>
      </c>
      <c r="C18" s="21">
        <f>C5+C16</f>
        <v>0</v>
      </c>
      <c r="D18" s="21">
        <f>MAX((D5+D16),0)</f>
        <v>209295.371978682</v>
      </c>
      <c r="E18" s="21">
        <f>MAX((E5+E16),0)</f>
        <v>1396.8327364773061</v>
      </c>
      <c r="F18" s="21">
        <f>MAX((F5+F16),0)</f>
        <v>31643.26540644381</v>
      </c>
      <c r="G18" s="21"/>
      <c r="H18" s="21"/>
      <c r="I18" s="21"/>
      <c r="J18" s="21">
        <f>MAX((J5+J16),0)</f>
        <v>645.30662320852537</v>
      </c>
      <c r="K18" s="21"/>
      <c r="L18" s="21">
        <f>MAX((L5+L16),0)</f>
        <v>0</v>
      </c>
      <c r="M18" s="21"/>
      <c r="N18" s="21">
        <f>MAX((N5+N16),0)</f>
        <v>2657.1696108623719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0.21156142290130919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24631.480272259127</v>
      </c>
      <c r="C22" s="23">
        <f ca="1">C18*C20</f>
        <v>0</v>
      </c>
      <c r="D22" s="23">
        <f>D18*D20</f>
        <v>42277.665139693767</v>
      </c>
      <c r="E22" s="23">
        <f>E18*E20</f>
        <v>317.08103118034848</v>
      </c>
      <c r="F22" s="23">
        <f>F18*F20</f>
        <v>8448.7518635204979</v>
      </c>
      <c r="G22" s="23"/>
      <c r="H22" s="23"/>
      <c r="I22" s="23"/>
      <c r="J22" s="23">
        <f>J18*J20</f>
        <v>228.43854461581796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44.253033185510404</v>
      </c>
      <c r="C29" s="39">
        <f>IF(ISERROR(B29*3.6/1000000/'E Balans VL '!Z17*100),0,B29*3.6/1000000/'E Balans VL '!Z17*100)</f>
        <v>1.8850626291391531E-2</v>
      </c>
      <c r="D29" s="234" t="s">
        <v>706</v>
      </c>
    </row>
    <row r="30" spans="1:18">
      <c r="A30" s="169" t="s">
        <v>35</v>
      </c>
      <c r="B30" s="37">
        <f>IF( ISERROR(IND_metaal_ele_kWh/1000),0,IND_metaal_ele_kWh/1000)</f>
        <v>9336.6198995355917</v>
      </c>
      <c r="C30" s="39">
        <f>IF(ISERROR(B30*3.6/1000000/'E Balans VL '!Z18*100),0,B30*3.6/1000000/'E Balans VL '!Z18*100)</f>
        <v>0.62154448812996377</v>
      </c>
      <c r="D30" s="234" t="s">
        <v>706</v>
      </c>
    </row>
    <row r="31" spans="1:18">
      <c r="A31" s="6" t="s">
        <v>32</v>
      </c>
      <c r="B31" s="37">
        <f>IF( ISERROR(IND_ander_ele_kWh/1000),0,IND_ander_ele_kWh/1000)</f>
        <v>18338.721744815201</v>
      </c>
      <c r="C31" s="39">
        <f>IF(ISERROR(B31*3.6/1000000/'E Balans VL '!Z19*100),0,B31*3.6/1000000/'E Balans VL '!Z19*100)</f>
        <v>0.8128828595680534</v>
      </c>
      <c r="D31" s="234" t="s">
        <v>706</v>
      </c>
    </row>
    <row r="32" spans="1:18">
      <c r="A32" s="169" t="s">
        <v>40</v>
      </c>
      <c r="B32" s="37">
        <f>IF( ISERROR(IND_voed_ele_kWh/1000),0,IND_voed_ele_kWh/1000)</f>
        <v>9011.1971499092706</v>
      </c>
      <c r="C32" s="39">
        <f>IF(ISERROR(B32*3.6/1000000/'E Balans VL '!Z20*100),0,B32*3.6/1000000/'E Balans VL '!Z20*100)</f>
        <v>0.30099983458597757</v>
      </c>
      <c r="D32" s="234" t="s">
        <v>706</v>
      </c>
    </row>
    <row r="33" spans="1:5">
      <c r="A33" s="169" t="s">
        <v>39</v>
      </c>
      <c r="B33" s="37">
        <f>IF( ISERROR(IND_textiel_ele_kWh/1000),0,IND_textiel_ele_kWh/1000)</f>
        <v>6752.7499444104706</v>
      </c>
      <c r="C33" s="39">
        <f>IF(ISERROR(B33*3.6/1000000/'E Balans VL '!Z21*100),0,B33*3.6/1000000/'E Balans VL '!Z21*100)</f>
        <v>0.88901510229297442</v>
      </c>
      <c r="D33" s="234" t="s">
        <v>706</v>
      </c>
    </row>
    <row r="34" spans="1:5">
      <c r="A34" s="169" t="s">
        <v>36</v>
      </c>
      <c r="B34" s="37">
        <f>IF( ISERROR(IND_min_ele_kWh/1000),0,IND_min_ele_kWh/1000)</f>
        <v>50.134950665166798</v>
      </c>
      <c r="C34" s="39">
        <f>IF(ISERROR(B34*3.6/1000000/'E Balans VL '!Z22*100),0,B34*3.6/1000000/'E Balans VL '!Z22*100)</f>
        <v>9.750697203245633E-3</v>
      </c>
      <c r="D34" s="234" t="s">
        <v>706</v>
      </c>
    </row>
    <row r="35" spans="1:5">
      <c r="A35" s="169" t="s">
        <v>38</v>
      </c>
      <c r="B35" s="37">
        <f>IF( ISERROR(IND_papier_ele_kWh/1000),0,IND_papier_ele_kWh/1000)</f>
        <v>12385.411069776701</v>
      </c>
      <c r="C35" s="39">
        <f>IF(ISERROR(B35*3.6/1000000/'E Balans VL '!Z22*100),0,B35*3.6/1000000/'E Balans VL '!Z22*100)</f>
        <v>2.4088264070642897</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60194.520630727406</v>
      </c>
      <c r="C37" s="39">
        <f>IF(ISERROR(B37*3.6/1000000/'E Balans VL '!Z15*100),0,B37*3.6/1000000/'E Balans VL '!Z15*100)</f>
        <v>0.44774916823007604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2482.3914326814261</v>
      </c>
      <c r="C5" s="17">
        <f>'Eigen informatie GS &amp; warmtenet'!B60</f>
        <v>0</v>
      </c>
      <c r="D5" s="30">
        <f>IF(ISERROR(SUM(LB_lb_gas_kWh,LB_rest_gas_kWh)/1000),0,SUM(LB_lb_gas_kWh,LB_rest_gas_kWh)/1000)*0.902</f>
        <v>781.6175800884314</v>
      </c>
      <c r="E5" s="17">
        <f>B17*'E Balans VL '!I25/3.6*1000000/100</f>
        <v>25.996140498869377</v>
      </c>
      <c r="F5" s="17">
        <f>B17*('E Balans VL '!L25/3.6*1000000+'E Balans VL '!N25/3.6*1000000)/100</f>
        <v>10626.521548771909</v>
      </c>
      <c r="G5" s="18"/>
      <c r="H5" s="17"/>
      <c r="I5" s="17"/>
      <c r="J5" s="17">
        <f>('E Balans VL '!D25+'E Balans VL '!E25)/3.6*1000000*landbouw!B17/100</f>
        <v>221.69980499244085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2482.3914326814261</v>
      </c>
      <c r="C8" s="21">
        <f>C5+C6</f>
        <v>0</v>
      </c>
      <c r="D8" s="21">
        <f>MAX((D5+D6),0)</f>
        <v>781.6175800884314</v>
      </c>
      <c r="E8" s="21">
        <f>MAX((E5+E6),0)</f>
        <v>25.996140498869377</v>
      </c>
      <c r="F8" s="21">
        <f>MAX((F5+F6),0)</f>
        <v>10626.521548771909</v>
      </c>
      <c r="G8" s="21"/>
      <c r="H8" s="21"/>
      <c r="I8" s="21"/>
      <c r="J8" s="21">
        <f>MAX((J5+J6),0)</f>
        <v>221.69980499244085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0.21156142290130919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525.17826369610202</v>
      </c>
      <c r="C12" s="23">
        <f ca="1">C8*C10</f>
        <v>0</v>
      </c>
      <c r="D12" s="23">
        <f>D8*D10</f>
        <v>157.88675117786315</v>
      </c>
      <c r="E12" s="23">
        <f>E8*E10</f>
        <v>5.9011238932433487</v>
      </c>
      <c r="F12" s="23">
        <f>F8*F10</f>
        <v>2837.2812535220996</v>
      </c>
      <c r="G12" s="23"/>
      <c r="H12" s="23"/>
      <c r="I12" s="23"/>
      <c r="J12" s="23">
        <f>J8*J10</f>
        <v>78.481730967324054</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0.38208796049968041</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363.56454523614252</v>
      </c>
      <c r="C26" s="244">
        <f>B26*'GWP N2O_CH4'!B5</f>
        <v>7634.8554499589927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109.58212734067844</v>
      </c>
      <c r="C27" s="244">
        <f>B27*'GWP N2O_CH4'!B5</f>
        <v>2301.2246741542472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5.9447746637823213</v>
      </c>
      <c r="C28" s="244">
        <f>B28*'GWP N2O_CH4'!B4</f>
        <v>1842.8801457725197</v>
      </c>
      <c r="D28" s="50"/>
    </row>
    <row r="29" spans="1:4">
      <c r="A29" s="41" t="s">
        <v>272</v>
      </c>
      <c r="B29" s="244">
        <f>B34*'ha_N2O bodem landbouw'!B4</f>
        <v>33.415089626614005</v>
      </c>
      <c r="C29" s="244">
        <f>B29*'GWP N2O_CH4'!B4</f>
        <v>10358.677784250342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5.5222824244514886E-3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2.4256294524279358E-5</v>
      </c>
      <c r="C5" s="435" t="s">
        <v>210</v>
      </c>
      <c r="D5" s="420">
        <f>SUM(D6:D11)</f>
        <v>7.7105468751994497E-5</v>
      </c>
      <c r="E5" s="420">
        <f>SUM(E6:E11)</f>
        <v>8.6539260285316902E-3</v>
      </c>
      <c r="F5" s="433" t="s">
        <v>210</v>
      </c>
      <c r="G5" s="420">
        <f>SUM(G6:G11)</f>
        <v>2.0681048945018792</v>
      </c>
      <c r="H5" s="420">
        <f>SUM(H6:H11)</f>
        <v>0.25995889332030198</v>
      </c>
      <c r="I5" s="435" t="s">
        <v>210</v>
      </c>
      <c r="J5" s="435" t="s">
        <v>210</v>
      </c>
      <c r="K5" s="435" t="s">
        <v>210</v>
      </c>
      <c r="L5" s="435" t="s">
        <v>210</v>
      </c>
      <c r="M5" s="420">
        <f>SUM(M6:M11)</f>
        <v>0.10105687698364027</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8.8801155471274807E-6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2.8116408091488394E-5</v>
      </c>
      <c r="E6" s="423">
        <f>vkm_GW_PW*SUMIFS(TableVerdeelsleutelVkm[LPG],TableVerdeelsleutelVkm[Voertuigtype],"Lichte voertuigen")*SUMIFS(TableECFTransport[EnergieConsumptieFactor (PJ per km)],TableECFTransport[Index],CONCATENATE($A6,"_LPG_LPG"))</f>
        <v>2.929974212985278E-3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0.39027329559011992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9.3625720911550664E-2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2.1121783132049619E-2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5.8901039417236962E-7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0.26551243460784385</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7.1887442074347569E-6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1.1438386093020111E-2</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3.4303940178062928E-6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1.8458787430877452E-5</v>
      </c>
      <c r="E8" s="423">
        <f>vkm_NGW_PW*SUMIFS(TableVerdeelsleutelVkm[LPG],TableVerdeelsleutelVkm[Voertuigtype],"Lichte voertuigen")*SUMIFS(TableECFTransport[EnergieConsumptieFactor (PJ per km)],TableECFTransport[Index],CONCATENATE($A8,"_LPG_LPG"))</f>
        <v>1.8153042095459639E-3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0.22893878562925027</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5.8121634476488139E-2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1.2537547105539717E-2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5.0998393044743835E-8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3.184325203260726E-2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7.5128204525521865E-7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1.3718154362332585E-3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9.7823960910298961E-6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3.0530273229628654E-5</v>
      </c>
      <c r="E10" s="423">
        <f>vkm_SW_PW*SUMIFS(TableVerdeelsleutelVkm[LPG],TableVerdeelsleutelVkm[Voertuigtype],"Lichte voertuigen")*SUMIFS(TableECFTransport[EnergieConsumptieFactor (PJ per km)],TableECFTransport[Index],CONCATENATE($A10,"_LPG_LPG"))</f>
        <v>3.9086476060004472E-3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0.48892409914823604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0.10818446112954627</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2.6041645381871065E-2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1.5233800810985743E-6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0.66261302749382167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1.9136776464230993E-5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2.85456998349265E-2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6.7378595900775995</v>
      </c>
      <c r="C14" s="21"/>
      <c r="D14" s="21">
        <f t="shared" ref="D14:M14" si="0">((D5)*10^9/3600)+D12</f>
        <v>21.418185764442917</v>
      </c>
      <c r="E14" s="21">
        <f t="shared" si="0"/>
        <v>2403.868341258803</v>
      </c>
      <c r="F14" s="21"/>
      <c r="G14" s="21">
        <f t="shared" si="0"/>
        <v>574473.58180607751</v>
      </c>
      <c r="H14" s="21">
        <f t="shared" si="0"/>
        <v>72210.803700083881</v>
      </c>
      <c r="I14" s="21"/>
      <c r="J14" s="21"/>
      <c r="K14" s="21"/>
      <c r="L14" s="21"/>
      <c r="M14" s="21">
        <f t="shared" si="0"/>
        <v>28071.354717677852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0.21156142290130919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1.4254711621860487</v>
      </c>
      <c r="C18" s="23"/>
      <c r="D18" s="23">
        <f t="shared" ref="D18:M18" si="1">D14*D16</f>
        <v>4.3264735244174695</v>
      </c>
      <c r="E18" s="23">
        <f t="shared" si="1"/>
        <v>545.67811346574831</v>
      </c>
      <c r="F18" s="23"/>
      <c r="G18" s="23">
        <f t="shared" si="1"/>
        <v>153384.44634222271</v>
      </c>
      <c r="H18" s="23">
        <f t="shared" si="1"/>
        <v>17980.490121320887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1.9673130631637299E-4</v>
      </c>
      <c r="C50" s="315">
        <f t="shared" ref="C50:P50" si="2">SUM(C51:C52)</f>
        <v>0</v>
      </c>
      <c r="D50" s="315">
        <f t="shared" si="2"/>
        <v>0</v>
      </c>
      <c r="E50" s="315">
        <f t="shared" si="2"/>
        <v>0</v>
      </c>
      <c r="F50" s="315">
        <f t="shared" si="2"/>
        <v>0</v>
      </c>
      <c r="G50" s="315">
        <f t="shared" si="2"/>
        <v>4.2678881750887861E-2</v>
      </c>
      <c r="H50" s="315">
        <f t="shared" si="2"/>
        <v>0</v>
      </c>
      <c r="I50" s="315">
        <f t="shared" si="2"/>
        <v>0</v>
      </c>
      <c r="J50" s="315">
        <f t="shared" si="2"/>
        <v>0</v>
      </c>
      <c r="K50" s="315">
        <f t="shared" si="2"/>
        <v>0</v>
      </c>
      <c r="L50" s="315">
        <f t="shared" si="2"/>
        <v>0</v>
      </c>
      <c r="M50" s="315">
        <f t="shared" si="2"/>
        <v>1.827345776359988E-3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1.9673130631637299E-4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4.2678881750887861E-2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1.827345776359988E-3</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54.647585087881389</v>
      </c>
      <c r="C54" s="21">
        <f t="shared" ref="C54:P54" si="3">(C50)*10^9/3600</f>
        <v>0</v>
      </c>
      <c r="D54" s="21">
        <f t="shared" si="3"/>
        <v>0</v>
      </c>
      <c r="E54" s="21">
        <f t="shared" si="3"/>
        <v>0</v>
      </c>
      <c r="F54" s="21">
        <f t="shared" si="3"/>
        <v>0</v>
      </c>
      <c r="G54" s="21">
        <f t="shared" si="3"/>
        <v>11855.244930802184</v>
      </c>
      <c r="H54" s="21">
        <f t="shared" si="3"/>
        <v>0</v>
      </c>
      <c r="I54" s="21">
        <f t="shared" si="3"/>
        <v>0</v>
      </c>
      <c r="J54" s="21">
        <f t="shared" si="3"/>
        <v>0</v>
      </c>
      <c r="K54" s="21">
        <f t="shared" si="3"/>
        <v>0</v>
      </c>
      <c r="L54" s="21">
        <f t="shared" si="3"/>
        <v>0</v>
      </c>
      <c r="M54" s="21">
        <f t="shared" si="3"/>
        <v>507.59604898888551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0.21156142290130919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11.561320859312552</v>
      </c>
      <c r="C58" s="23">
        <f t="shared" ref="C58:P58" ca="1" si="4">C54*C56</f>
        <v>0</v>
      </c>
      <c r="D58" s="23">
        <f t="shared" si="4"/>
        <v>0</v>
      </c>
      <c r="E58" s="23">
        <f t="shared" si="4"/>
        <v>0</v>
      </c>
      <c r="F58" s="23">
        <f t="shared" si="4"/>
        <v>0</v>
      </c>
      <c r="G58" s="23">
        <f t="shared" si="4"/>
        <v>3165.3503965241835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9911.2119547937709</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8932.9712618656122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641.25</v>
      </c>
      <c r="C8" s="546">
        <f>B48</f>
        <v>754.41176470588255</v>
      </c>
      <c r="D8" s="965"/>
      <c r="E8" s="965">
        <f>E48</f>
        <v>0</v>
      </c>
      <c r="F8" s="966"/>
      <c r="G8" s="547"/>
      <c r="H8" s="965">
        <f>I48</f>
        <v>0</v>
      </c>
      <c r="I8" s="965">
        <f>G48+F48</f>
        <v>0</v>
      </c>
      <c r="J8" s="965">
        <f>H48+D48+C48</f>
        <v>0</v>
      </c>
      <c r="K8" s="965"/>
      <c r="L8" s="965"/>
      <c r="M8" s="965"/>
      <c r="N8" s="548"/>
      <c r="O8" s="549">
        <f>C8*$C$12+D8*$D$12+E8*$E$12+F8*$F$12+G8*$G$12+H8*$H$12+I8*$I$12+J8*$J$12</f>
        <v>152.39117647058828</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19485.433216659381</v>
      </c>
      <c r="C10" s="558">
        <f t="shared" ref="C10:L10" si="0">SUM(C8:C9)</f>
        <v>754.41176470588255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152.39117647058828</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916.07142857142856</v>
      </c>
      <c r="C17" s="570">
        <f>B49</f>
        <v>1077.7310924369749</v>
      </c>
      <c r="D17" s="571"/>
      <c r="E17" s="571">
        <f>E49</f>
        <v>0</v>
      </c>
      <c r="F17" s="572"/>
      <c r="G17" s="573"/>
      <c r="H17" s="570">
        <f>I49</f>
        <v>0</v>
      </c>
      <c r="I17" s="571">
        <f>G49+F49</f>
        <v>0</v>
      </c>
      <c r="J17" s="571">
        <f>H49+D49+C49</f>
        <v>0</v>
      </c>
      <c r="K17" s="571"/>
      <c r="L17" s="571"/>
      <c r="M17" s="571"/>
      <c r="N17" s="961"/>
      <c r="O17" s="574">
        <f>C17*$C$22+E17*$E$22+H17*$H$22+I17*$I$22+J17*$J$22+D17*$D$22+F17*$F$22+G17*$G$22+K17*$K$22+L17*$L$22</f>
        <v>217.70168067226894</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916.07142857142856</v>
      </c>
      <c r="C20" s="557">
        <f>SUM(C17:C19)</f>
        <v>1077.7310924369749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217.70168067226894</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34022</v>
      </c>
      <c r="C28" s="777">
        <v>8500</v>
      </c>
      <c r="D28" s="630" t="s">
        <v>983</v>
      </c>
      <c r="E28" s="629" t="s">
        <v>984</v>
      </c>
      <c r="F28" s="629" t="s">
        <v>985</v>
      </c>
      <c r="G28" s="629" t="s">
        <v>986</v>
      </c>
      <c r="H28" s="629" t="s">
        <v>987</v>
      </c>
      <c r="I28" s="629" t="s">
        <v>984</v>
      </c>
      <c r="J28" s="776">
        <v>39953</v>
      </c>
      <c r="K28" s="776">
        <v>40179</v>
      </c>
      <c r="L28" s="629" t="s">
        <v>988</v>
      </c>
      <c r="M28" s="629">
        <v>142.5</v>
      </c>
      <c r="N28" s="629">
        <v>641.25</v>
      </c>
      <c r="O28" s="629">
        <v>916.07142857142856</v>
      </c>
      <c r="P28" s="629">
        <v>1832.1428571428573</v>
      </c>
      <c r="Q28" s="629">
        <v>0</v>
      </c>
      <c r="R28" s="629">
        <v>0</v>
      </c>
      <c r="S28" s="629">
        <v>0</v>
      </c>
      <c r="T28" s="629">
        <v>0</v>
      </c>
      <c r="U28" s="629">
        <v>0</v>
      </c>
      <c r="V28" s="629">
        <v>0</v>
      </c>
      <c r="W28" s="629">
        <v>0</v>
      </c>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142.5</v>
      </c>
      <c r="N29" s="587">
        <f>SUM(N28:N28)</f>
        <v>641.25</v>
      </c>
      <c r="O29" s="587">
        <f>SUM(O28:O28)</f>
        <v>916.07142857142856</v>
      </c>
      <c r="P29" s="587">
        <f>SUM(P28:P28)</f>
        <v>1832.1428571428573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142.5</v>
      </c>
      <c r="N31" s="587">
        <f ca="1">SUMIF($Z$28:AD28,"tertiair",N28:N28)</f>
        <v>641.25</v>
      </c>
      <c r="O31" s="587">
        <f ca="1">SUMIF($Z$28:AE28,"tertiair",O28:O28)</f>
        <v>916.07142857142856</v>
      </c>
      <c r="P31" s="587">
        <f ca="1">SUMIF($Z$28:AF28,"tertiair",P28:P28)</f>
        <v>1832.1428571428573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754.41176470588255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1077.7310924369749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2021-06-29T16:59:10Z</dcterms:modified>
</cp:coreProperties>
</file>