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Q87" i="14" s="1"/>
  <c r="I8" i="18"/>
  <c r="I10" i="18" s="1"/>
  <c r="H10" i="18"/>
  <c r="M76" i="14"/>
  <c r="E10" i="18"/>
  <c r="F76" i="14"/>
  <c r="P9" i="55"/>
  <c r="J20" i="18"/>
  <c r="J87" i="14"/>
  <c r="I20" i="18"/>
  <c r="I87" i="14"/>
  <c r="I17" i="55" s="1"/>
  <c r="I20" i="55" s="1"/>
  <c r="O8" i="18"/>
  <c r="O10" i="18" s="1"/>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6" i="13"/>
  <c r="B35" i="13"/>
  <c r="C35" i="13" s="1"/>
  <c r="B34" i="13"/>
  <c r="B33"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<sst xmlns="http://schemas.openxmlformats.org/spreadsheetml/2006/main" count="2581" uniqueCount="983">
  <si>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</si>
  <si>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</si>
  <si>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</si>
  <si>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</si>
  <si>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</si>
  <si>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</si>
  <si>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</si>
  <si>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</si>
  <si>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</si>
  <si>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</si>
  <si>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</si>
  <si>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</si>
  <si>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</si>
  <si>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</si>
  <si>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</si>
  <si>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</si>
  <si>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</si>
  <si>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</si>
  <si>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</si>
  <si>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</si>
  <si>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</si>
  <si>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</si>
  <si>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</si>
  <si>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</si>
  <si>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</si>
  <si>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</si>
  <si>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</si>
  <si>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</si>
  <si>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</si>
  <si>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</si>
  <si>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</si>
  <si>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</si>
  <si>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</si>
  <si>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</si>
  <si>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</si>
  <si>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</si>
  <si>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</si>
  <si>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</si>
  <si>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</si>
  <si>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</si>
  <si>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</si>
  <si>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</si>
  <si>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</si>
  <si>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</si>
  <si>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</si>
  <si>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</si>
  <si>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</si>
  <si>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</si>
  <si>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</si>
  <si>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</si>
  <si>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</si>
  <si>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</si>
  <si>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</si>
  <si>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</si>
  <si>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</si>
  <si>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</si>
  <si>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</si>
  <si>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</si>
  <si>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</si>
  <si>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</si>
  <si>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</si>
  <si>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</si>
  <si>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</si>
  <si>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</si>
  <si>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</si>
  <si>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</si>
  <si>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</si>
  <si>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</si>
  <si>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</si>
  <si>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</si>
  <si>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</si>
  <si>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</si>
  <si>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</si>
  <si>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</si>
  <si>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</si>
  <si>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</si>
  <si>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</si>
  <si>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</si>
  <si>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</si>
  <si>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</si>
  <si>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</si>
  <si>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</si>
  <si>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</si>
  <si>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</si>
  <si>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</si>
  <si>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</si>
  <si>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</si>
  <si>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</si>
  <si>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</si>
  <si>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</si>
  <si>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</si>
  <si>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</si>
  <si>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</si>
  <si>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</si>
  <si>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</si>
  <si>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</si>
  <si>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</si>
  <si>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</si>
  <si>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</si>
  <si>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</si>
  <si>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</si>
  <si>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</si>
  <si>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</si>
  <si>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</si>
  <si>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</si>
  <si>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</si>
  <si>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</si>
  <si>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</si>
  <si>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</si>
  <si>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</si>
  <si>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</si>
  <si>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</si>
  <si>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</si>
  <si>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</si>
  <si>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</si>
  <si>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</si>
  <si>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</si>
  <si>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</si>
  <si>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</si>
  <si>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</si>
  <si>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</si>
  <si>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</si>
  <si>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</si>
  <si>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</si>
  <si>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</si>
  <si>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</si>
  <si>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</si>
  <si>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</si>
  <si>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</si>
  <si>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</si>
  <si>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</si>
  <si>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</si>
  <si>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</si>
  <si>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</si>
  <si>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</si>
  <si>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</si>
  <si>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</si>
  <si>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</si>
  <si>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</si>
  <si>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</si>
  <si>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</si>
  <si>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</si>
  <si>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</si>
  <si>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</si>
  <si>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</si>
  <si>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</si>
  <si>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</si>
  <si>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</si>
  <si>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</si>
  <si>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</si>
  <si>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</si>
  <si>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</si>
  <si>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</si>
  <si>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</si>
  <si>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</si>
  <si>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</si>
  <si>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</si>
  <si>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</si>
  <si>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</si>
  <si>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</si>
  <si>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</si>
  <si>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</si>
  <si>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</si>
  <si>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</si>
  <si>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</si>
  <si>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</si>
  <si>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</si>
  <si>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</si>
  <si>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</si>
  <si>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</si>
  <si>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</si>
  <si>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</si>
  <si>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</si>
  <si>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</si>
  <si>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</si>
  <si>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</si>
  <si>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</si>
  <si>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</si>
  <si>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</si>
  <si>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</si>
  <si>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</si>
  <si>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</si>
  <si>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</si>
  <si>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</si>
  <si>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</si>
  <si>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</si>
  <si>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</si>
  <si>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</si>
  <si>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</si>
  <si>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</si>
  <si>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</si>
  <si>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</si>
  <si>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</si>
  <si>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</si>
  <si>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</si>
  <si>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</si>
  <si>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</si>
  <si>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</si>
  <si>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</si>
  <si>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</si>
  <si>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</si>
  <si>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</si>
  <si>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</si>
  <si>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</si>
  <si>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</si>
  <si>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</si>
  <si>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</si>
  <si>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</si>
  <si>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</si>
  <si>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</si>
  <si>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</si>
  <si>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</si>
  <si>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</si>
  <si>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</si>
  <si>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</si>
  <si>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</si>
  <si>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</si>
  <si>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</si>
  <si>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</si>
  <si>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</si>
  <si>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</si>
  <si>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</si>
  <si>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</si>
  <si>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</si>
  <si>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</si>
  <si>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</si>
  <si>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</si>
  <si>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</si>
  <si>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</si>
  <si>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</si>
  <si>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</si>
  <si>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</si>
  <si>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</si>
  <si>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</si>
  <si>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</si>
  <si>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</si>
  <si>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</si>
  <si>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</si>
  <si>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</si>
  <si>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</si>
  <si>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</si>
  <si>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</si>
  <si>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</si>
  <si>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</si>
  <si>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</si>
  <si>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</si>
  <si>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</si>
  <si>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</si>
  <si>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</si>
  <si>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</si>
  <si>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</si>
  <si>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</si>
  <si>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</si>
  <si>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</si>
  <si>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</si>
  <si>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</si>
  <si>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</si>
  <si>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</si>
  <si>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</si>
  <si>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</si>
  <si>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</si>
  <si>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</si>
  <si>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</si>
  <si>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</si>
  <si>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</si>
  <si>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</si>
  <si>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</si>
  <si>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</si>
  <si>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</si>
  <si>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</si>
  <si>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</si>
  <si>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</si>
  <si>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</si>
  <si>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</si>
  <si>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</si>
  <si>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</si>
  <si>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</si>
  <si>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</si>
  <si>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</si>
  <si>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</si>
  <si>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</si>
  <si>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</si>
  <si>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</si>
  <si>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</si>
  <si>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</si>
  <si>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</si>
  <si>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</si>
  <si>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</si>
  <si>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</si>
  <si>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</si>
  <si>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</si>
  <si>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</si>
  <si>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</si>
  <si>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</si>
  <si>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</si>
  <si>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</si>
  <si>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</si>
  <si>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</si>
  <si>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</si>
  <si>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</si>
  <si>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</si>
  <si>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</si>
  <si>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</si>
  <si>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</si>
  <si>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</si>
  <si>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</si>
  <si>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</si>
  <si>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</si>
  <si>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</si>
  <si>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</si>
  <si>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</si>
  <si>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</si>
  <si>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</si>
  <si>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</si>
  <si>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</si>
  <si>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</si>
  <si>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</si>
  <si>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</si>
  <si>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</si>
  <si>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</si>
  <si>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</si>
  <si>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</si>
  <si>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</si>
  <si>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</si>
  <si>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</si>
  <si>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</si>
  <si>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</si>
  <si>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</si>
  <si>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</si>
  <si>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</si>
  <si>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</si>
  <si>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</si>
  <si>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</si>
  <si>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</si>
  <si>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</si>
  <si>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</si>
  <si>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</si>
  <si>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</si>
  <si>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</si>
  <si>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</si>
  <si>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</si>
  <si>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</si>
  <si>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</si>
  <si>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</si>
  <si>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</si>
  <si>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</si>
  <si>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</si>
  <si>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</si>
  <si>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</si>
  <si>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</si>
  <si>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</si>
  <si>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</si>
  <si>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</si>
  <si>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</si>
  <si>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</si>
  <si>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</si>
  <si>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</si>
  <si>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</si>
  <si>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</si>
  <si>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</si>
  <si>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</si>
  <si>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</si>
  <si>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</si>
  <si>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</si>
  <si>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</si>
  <si>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</si>
  <si>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</si>
  <si>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</si>
  <si>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</si>
  <si>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</si>
  <si>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</si>
  <si>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</si>
  <si>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</si>
  <si>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</si>
  <si>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</si>
  <si>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</si>
  <si>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</si>
  <si>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</si>
  <si>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</si>
  <si>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</si>
  <si>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</si>
  <si>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</si>
  <si>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</si>
  <si>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</si>
  <si>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</si>
  <si>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</si>
  <si>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</si>
  <si>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</si>
  <si>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</si>
  <si>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</si>
  <si>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</si>
  <si>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</si>
  <si>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</si>
  <si>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</si>
  <si>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</si>
  <si>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</si>
  <si>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</si>
  <si>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</si>
  <si>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</si>
  <si>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</si>
  <si>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</si>
  <si>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</si>
  <si>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</si>
  <si>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</si>
  <si>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</si>
  <si>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</si>
  <si>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</si>
  <si>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</si>
  <si>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</si>
  <si>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</si>
  <si>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</si>
  <si>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</si>
  <si>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</si>
  <si>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</si>
  <si>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</si>
  <si>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</si>
  <si>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</si>
  <si>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</si>
  <si>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</si>
  <si>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</si>
  <si>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</si>
  <si>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</si>
  <si>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</si>
  <si>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</si>
  <si>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</si>
  <si>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</si>
  <si>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</si>
  <si>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</si>
  <si>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</si>
  <si>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</si>
  <si>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</si>
  <si>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</si>
  <si>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</si>
  <si>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</si>
  <si>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</si>
  <si>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</si>
  <si>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</si>
  <si>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</si>
  <si>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</si>
  <si>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</si>
  <si>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</si>
  <si>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</si>
  <si>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</si>
  <si>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</si>
  <si>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</si>
  <si>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</si>
  <si>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</si>
  <si>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</si>
  <si>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</si>
  <si>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</si>
  <si>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</si>
  <si>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</si>
  <si>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</si>
  <si>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</si>
  <si>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</si>
  <si>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</si>
  <si>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</si>
  <si>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</si>
  <si>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</si>
  <si>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</si>
  <si>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</si>
  <si>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</si>
  <si>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</si>
  <si>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</si>
  <si>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</si>
  <si>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</si>
  <si>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</si>
  <si>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</si>
  <si>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</si>
  <si>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</si>
  <si>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</si>
  <si>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</si>
  <si>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</si>
  <si>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</si>
  <si>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</si>
  <si>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</si>
  <si>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</si>
  <si>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</si>
  <si>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</si>
  <si>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</si>
  <si>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</si>
  <si>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</si>
  <si>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</si>
  <si>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</si>
  <si>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</si>
  <si>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</si>
  <si>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</si>
  <si>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</si>
  <si>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</si>
  <si>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</si>
  <si>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</si>
  <si>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</si>
  <si>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</si>
  <si>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</si>
  <si>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</si>
  <si>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</si>
  <si>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</si>
  <si>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</si>
  <si>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</si>
  <si>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</si>
  <si>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</si>
  <si>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</si>
  <si>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</si>
  <si>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</si>
  <si>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</si>
  <si>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</si>
  <si>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</si>
  <si>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</si>
  <si>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</si>
  <si>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</si>
  <si>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</si>
  <si>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</si>
  <si>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</si>
  <si>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</si>
  <si>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</si>
  <si>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</si>
  <si>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</si>
  <si>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</si>
  <si>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</si>
  <si>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</si>
  <si>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</si>
  <si>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</si>
  <si>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</si>
  <si>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</si>
  <si>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</si>
  <si>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</si>
  <si>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</si>
  <si>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</si>
  <si>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</si>
  <si>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</si>
  <si>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</si>
  <si>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</si>
  <si>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</si>
  <si>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</si>
  <si>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</si>
  <si>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</si>
  <si>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</si>
  <si>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</si>
  <si>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</si>
  <si>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</si>
  <si>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</si>
  <si>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</si>
  <si>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</si>
  <si>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</si>
  <si>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</si>
  <si>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</si>
  <si>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</si>
  <si>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</si>
  <si>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</si>
  <si>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</si>
  <si>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</si>
  <si>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</si>
  <si>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</si>
  <si>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</si>
  <si>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</si>
  <si>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</si>
  <si>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</si>
  <si>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</si>
  <si>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</si>
  <si>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</si>
  <si>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</si>
  <si>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</si>
  <si>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</si>
  <si>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</si>
  <si>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</si>
  <si>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</si>
  <si>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</si>
  <si>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</si>
  <si>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</si>
  <si>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</si>
  <si>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</si>
  <si>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</si>
  <si>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</si>
  <si>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</si>
  <si>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</si>
  <si>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</si>
  <si>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</si>
  <si>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</si>
  <si>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</si>
  <si>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</si>
  <si>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</si>
  <si>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</si>
  <si>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</si>
  <si>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</si>
  <si>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</si>
  <si>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</si>
  <si>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</si>
  <si>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</si>
  <si>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</si>
  <si>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</si>
  <si>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</si>
  <si>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</si>
  <si>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</si>
  <si>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</si>
  <si>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</si>
  <si>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</si>
  <si>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</si>
  <si>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</si>
  <si>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</si>
  <si>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</si>
  <si>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</si>
  <si>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</si>
  <si>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</si>
  <si>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</si>
  <si>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</si>
  <si>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</si>
  <si>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</si>
  <si>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</si>
  <si>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</si>
  <si>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</si>
  <si>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</si>
  <si>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</si>
  <si>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</si>
  <si>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</si>
  <si>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</si>
  <si>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</si>
  <si>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</si>
  <si>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</si>
  <si>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</si>
  <si>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</si>
  <si>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</si>
  <si>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</si>
  <si>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</si>
  <si>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</si>
  <si>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</si>
  <si>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</si>
  <si>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</si>
  <si>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</si>
  <si>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</si>
  <si>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</si>
  <si>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</si>
  <si>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</si>
  <si>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</si>
  <si>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</si>
  <si>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</si>
  <si>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</si>
  <si>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</si>
  <si>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</si>
  <si>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</si>
  <si>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</si>
  <si>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</si>
  <si>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</si>
  <si>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</si>
  <si>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</si>
  <si>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</si>
  <si>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</si>
  <si>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</si>
  <si>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</si>
  <si>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</si>
  <si>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</si>
  <si>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</si>
  <si>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</si>
  <si>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</si>
  <si>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</si>
  <si>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</si>
  <si>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</si>
  <si>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</si>
  <si>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</si>
  <si>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</si>
  <si>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</si>
  <si>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</si>
  <si>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</si>
  <si>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</si>
  <si>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</si>
  <si>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</si>
  <si>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</si>
  <si>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</si>
  <si>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</si>
  <si>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</si>
  <si>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</si>
  <si>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</si>
  <si>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</si>
  <si>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</si>
  <si>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</si>
  <si>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</si>
  <si>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</si>
  <si>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</si>
  <si>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</si>
  <si>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</si>
  <si>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</si>
  <si>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</si>
  <si>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</si>
  <si>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</si>
  <si>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</si>
  <si>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</si>
  <si>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</si>
  <si>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</si>
  <si>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</si>
  <si>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</si>
  <si>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</si>
  <si>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</si>
  <si>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</si>
  <si>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</si>
  <si>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</si>
  <si>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</si>
  <si>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</si>
  <si>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</si>
  <si>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</si>
  <si>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</si>
  <si>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</si>
  <si>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</si>
  <si>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</si>
  <si>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</si>
  <si>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</si>
  <si>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</si>
  <si>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</si>
  <si>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</si>
  <si>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</si>
  <si>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</si>
  <si>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</si>
  <si>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</si>
  <si>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</si>
  <si>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</si>
  <si>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</si>
  <si>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</si>
  <si>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</si>
  <si>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</si>
  <si>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</si>
  <si>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</si>
  <si>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</si>
  <si>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</si>
  <si>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</si>
  <si>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</si>
  <si>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</si>
  <si>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</si>
  <si>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</si>
  <si>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</si>
  <si>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</si>
  <si>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</si>
  <si>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</si>
  <si>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</si>
  <si>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</si>
  <si>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</si>
  <si>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</si>
  <si>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</si>
  <si>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</si>
  <si>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</si>
  <si>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</si>
  <si>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</si>
  <si>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</si>
  <si>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</si>
  <si>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</si>
  <si>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</si>
  <si>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</si>
  <si>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</si>
  <si>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</si>
  <si>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</si>
  <si>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</si>
  <si>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</si>
  <si>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</si>
  <si>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</si>
  <si>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</si>
  <si>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</si>
  <si>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</si>
  <si>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</si>
  <si>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</si>
  <si>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</si>
  <si>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</si>
  <si>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</si>
  <si>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</si>
  <si>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</si>
  <si>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</si>
  <si>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</si>
  <si>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</si>
  <si>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</si>
  <si>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</si>
  <si>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</si>
  <si>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</si>
  <si>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</si>
  <si>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</si>
  <si>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</si>
  <si>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</si>
  <si>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</si>
  <si>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</si>
  <si>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</si>
  <si>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</si>
  <si>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</si>
  <si>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</si>
  <si>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</si>
  <si>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</si>
  <si>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</si>
  <si>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</si>
  <si>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</si>
  <si>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</si>
  <si>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</si>
  <si>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</si>
  <si>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</si>
  <si>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</si>
  <si>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</si>
  <si>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</si>
  <si>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</si>
  <si>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</si>
  <si>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</si>
  <si>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</si>
  <si>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</si>
  <si>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</si>
  <si>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</si>
  <si>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</si>
  <si>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</si>
  <si>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</si>
  <si>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</si>
  <si>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</si>
  <si>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</si>
  <si>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</si>
  <si>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</si>
  <si>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</si>
  <si>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</si>
  <si>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</si>
  <si>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</si>
  <si>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</si>
  <si>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</si>
  <si>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</si>
  <si>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</si>
  <si>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</si>
  <si>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</si>
  <si>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</si>
  <si>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</si>
  <si>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</si>
  <si>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</si>
  <si>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</si>
  <si>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</si>
  <si>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</si>
  <si>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</si>
  <si>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</si>
  <si>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</si>
  <si>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</si>
  <si>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</si>
  <si>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</si>
  <si>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</si>
  <si>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</si>
  <si>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</si>
  <si>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</si>
  <si>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</si>
  <si>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</si>
  <si>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</si>
  <si>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</si>
  <si>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</si>
  <si>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</si>
  <si>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</si>
  <si>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</si>
  <si>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</si>
  <si>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</si>
  <si>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</si>
  <si>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</si>
  <si>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</si>
  <si>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</si>
  <si>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</si>
  <si>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</si>
  <si>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</si>
  <si>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</si>
  <si>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</si>
  <si>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</si>
  <si>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</si>
  <si>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</si>
  <si>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</si>
  <si>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</si>
  <si>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</si>
  <si>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</si>
  <si>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</si>
  <si>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</si>
  <si>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</si>
  <si>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</si>
  <si>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</si>
  <si>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</si>
  <si>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</si>
  <si>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</si>
  <si>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</si>
  <si>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</si>
  <si>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</si>
  <si>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</si>
  <si>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</si>
  <si>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</si>
  <si>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</si>
  <si>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</si>
  <si>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</si>
  <si>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</si>
  <si>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</si>
  <si>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</si>
  <si>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</si>
  <si>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</si>
  <si>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</si>
  <si>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</si>
  <si>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</si>
  <si>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</si>
  <si>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</si>
  <si>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</si>
  <si>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</si>
  <si>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</si>
  <si>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</si>
  <si>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</si>
  <si>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</si>
  <si>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</si>
  <si>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</si>
  <si>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</si>
  <si>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</si>
  <si>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</si>
  <si>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</si>
  <si>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</si>
  <si>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</si>
  <si>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</si>
  <si>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</si>
  <si>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</si>
  <si>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</si>
  <si>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</si>
  <si>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</si>
  <si>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</si>
  <si>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</si>
  <si>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</si>
  <si>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</si>
  <si>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</si>
  <si>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</si>
  <si>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</si>
  <si>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</si>
  <si>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</si>
  <si>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</si>
  <si>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</si>
  <si>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</si>
  <si>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</si>
  <si>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</si>
  <si>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</si>
  <si>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</si>
  <si>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</si>
  <si>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</si>
  <si>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</si>
  <si>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</si>
  <si>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</si>
  <si>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</si>
  <si>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</si>
  <si>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</si>
  <si>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</si>
  <si>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</si>
  <si>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</si>
  <si>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</si>
  <si>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</si>
  <si>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</si>
  <si>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</si>
  <si>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</si>
  <si>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</si>
  <si>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</si>
  <si>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</si>
  <si>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</si>
  <si>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</si>
  <si>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</si>
  <si>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</si>
  <si>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</si>
  <si>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</si>
  <si>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</si>
  <si>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</si>
  <si>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</si>
  <si>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</si>
  <si>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</si>
  <si>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</si>
  <si>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</si>
  <si>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</si>
  <si>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</si>
  <si>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</si>
  <si>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</si>
  <si>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</si>
  <si>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</si>
  <si>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</si>
  <si>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</si>
  <si>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</si>
  <si>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</si>
  <si>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</si>
  <si>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</si>
  <si>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</si>
  <si>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</si>
  <si>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</si>
  <si>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</si>
  <si>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</si>
  <si>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</si>
  <si>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</si>
  <si>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</si>
  <si>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</si>
  <si>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</si>
  <si>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</si>
  <si>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33021</t>
  </si>
  <si>
    <t>POPERINGE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</si>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</sst>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33021</v>
      </c>
      <c r="B6" s="386"/>
      <c r="C6" s="387"/>
    </row>
    <row r="7" spans="1:7" s="384" customFormat="1" ht="15.75" customHeight="1">
      <c r="A7" s="388" t="str">
        <f>txtMunicipality</f>
        <v>POPERINGE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22357.759250834795</v>
      </c>
      <c r="D10" s="676">
        <f ca="1">tertiair!C16</f>
        <v>0</v>
      </c>
      <c r="E10" s="676">
        <f ca="1">tertiair!D16</f>
        <v>25062.139391250294</v>
      </c>
      <c r="F10" s="676">
        <f>tertiair!E16</f>
        <v>429.65649337653576</v>
      </c>
      <c r="G10" s="676">
        <f ca="1">tertiair!F16</f>
        <v>4191.4390500265599</v>
      </c>
      <c r="H10" s="676">
        <f>tertiair!G16</f>
        <v>0</v>
      </c>
      <c r="I10" s="676">
        <f>tertiair!H16</f>
        <v>0</v>
      </c>
      <c r="J10" s="676">
        <f>tertiair!I16</f>
        <v>0</v>
      </c>
      <c r="K10" s="676">
        <f>tertiair!J16</f>
        <v>0</v>
      </c>
      <c r="L10" s="676">
        <f>tertiair!K16</f>
        <v>0</v>
      </c>
      <c r="M10" s="676">
        <f ca="1">tertiair!L16</f>
        <v>0</v>
      </c>
      <c r="N10" s="676">
        <f>tertiair!M16</f>
        <v>0</v>
      </c>
      <c r="O10" s="676">
        <f ca="1">tertiair!N16</f>
        <v>520.14778600902355</v>
      </c>
      <c r="P10" s="676">
        <f>tertiair!O16</f>
        <v>0</v>
      </c>
      <c r="Q10" s="677">
        <f>tertiair!P16</f>
        <v>57.2</v>
      </c>
      <c r="R10" s="679">
        <f ca="1">SUM(C10:Q10)</f>
        <v>52618.341971497197</v>
      </c>
      <c r="S10" s="67"/>
    </row>
    <row r="11" spans="1:19" s="445" customFormat="1">
      <c r="A11" s="791" t="s">
        <v>220</v>
      </c>
      <c r="B11" s="796"/>
      <c r="C11" s="676">
        <f>huishoudens!B8</f>
        <v>30693.799886512508</v>
      </c>
      <c r="D11" s="676">
        <f>huishoudens!C8</f>
        <v>0</v>
      </c>
      <c r="E11" s="676">
        <f>huishoudens!D8</f>
        <v>65163.199207907528</v>
      </c>
      <c r="F11" s="676">
        <f>huishoudens!E8</f>
        <v>1709.2295299181815</v>
      </c>
      <c r="G11" s="676">
        <f>huishoudens!F8</f>
        <v>58343.517016333448</v>
      </c>
      <c r="H11" s="676">
        <f>huishoudens!G8</f>
        <v>0</v>
      </c>
      <c r="I11" s="676">
        <f>huishoudens!H8</f>
        <v>0</v>
      </c>
      <c r="J11" s="676">
        <f>huishoudens!I8</f>
        <v>0</v>
      </c>
      <c r="K11" s="676">
        <f>huishoudens!J8</f>
        <v>1313.7480856369275</v>
      </c>
      <c r="L11" s="676">
        <f>huishoudens!K8</f>
        <v>0</v>
      </c>
      <c r="M11" s="676">
        <f>huishoudens!L8</f>
        <v>0</v>
      </c>
      <c r="N11" s="676">
        <f>huishoudens!M8</f>
        <v>0</v>
      </c>
      <c r="O11" s="676">
        <f>huishoudens!N8</f>
        <v>9791.641692574578</v>
      </c>
      <c r="P11" s="676">
        <f>huishoudens!O8</f>
        <v>110.99666666666667</v>
      </c>
      <c r="Q11" s="677">
        <f>huishoudens!P8</f>
        <v>305.06666666666666</v>
      </c>
      <c r="R11" s="679">
        <f>SUM(C11:Q11)</f>
        <v>167431.19875221653</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46881.328907386087</v>
      </c>
      <c r="D13" s="676">
        <f>industrie!C18</f>
        <v>0</v>
      </c>
      <c r="E13" s="676">
        <f>industrie!D18</f>
        <v>62943.547476098182</v>
      </c>
      <c r="F13" s="676">
        <f>industrie!E18</f>
        <v>487.73983956534391</v>
      </c>
      <c r="G13" s="676">
        <f>industrie!F18</f>
        <v>13918.513997719312</v>
      </c>
      <c r="H13" s="676">
        <f>industrie!G18</f>
        <v>0</v>
      </c>
      <c r="I13" s="676">
        <f>industrie!H18</f>
        <v>0</v>
      </c>
      <c r="J13" s="676">
        <f>industrie!I18</f>
        <v>0</v>
      </c>
      <c r="K13" s="676">
        <f>industrie!J18</f>
        <v>266.14641725703871</v>
      </c>
      <c r="L13" s="676">
        <f>industrie!K18</f>
        <v>0</v>
      </c>
      <c r="M13" s="676">
        <f>industrie!L18</f>
        <v>0</v>
      </c>
      <c r="N13" s="676">
        <f>industrie!M18</f>
        <v>0</v>
      </c>
      <c r="O13" s="676">
        <f>industrie!N18</f>
        <v>1276.5705403530758</v>
      </c>
      <c r="P13" s="676">
        <f>industrie!O18</f>
        <v>0</v>
      </c>
      <c r="Q13" s="677">
        <f>industrie!P18</f>
        <v>0</v>
      </c>
      <c r="R13" s="679">
        <f>SUM(C13:Q13)</f>
        <v>125773.84717837904</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99932.88804473338</v>
      </c>
      <c r="D16" s="709">
        <f t="shared" ref="D16:R16" ca="1" si="0">SUM(D9:D15)</f>
        <v>0</v>
      </c>
      <c r="E16" s="709">
        <f t="shared" ca="1" si="0"/>
        <v>153168.88607525601</v>
      </c>
      <c r="F16" s="709">
        <f t="shared" si="0"/>
        <v>2626.6258628600613</v>
      </c>
      <c r="G16" s="709">
        <f t="shared" ca="1" si="0"/>
        <v>76453.470064079316</v>
      </c>
      <c r="H16" s="709">
        <f t="shared" si="0"/>
        <v>0</v>
      </c>
      <c r="I16" s="709">
        <f t="shared" si="0"/>
        <v>0</v>
      </c>
      <c r="J16" s="709">
        <f t="shared" si="0"/>
        <v>0</v>
      </c>
      <c r="K16" s="709">
        <f t="shared" si="0"/>
        <v>1579.8945028939661</v>
      </c>
      <c r="L16" s="709">
        <f t="shared" si="0"/>
        <v>0</v>
      </c>
      <c r="M16" s="709">
        <f t="shared" ca="1" si="0"/>
        <v>0</v>
      </c>
      <c r="N16" s="709">
        <f t="shared" si="0"/>
        <v>0</v>
      </c>
      <c r="O16" s="709">
        <f t="shared" ca="1" si="0"/>
        <v>11588.360018936677</v>
      </c>
      <c r="P16" s="709">
        <f t="shared" si="0"/>
        <v>110.99666666666667</v>
      </c>
      <c r="Q16" s="709">
        <f t="shared" si="0"/>
        <v>362.26666666666665</v>
      </c>
      <c r="R16" s="709">
        <f t="shared" ca="1" si="0"/>
        <v>345823.38790209277</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3.4556890350499407</v>
      </c>
      <c r="D19" s="676">
        <f>transport!C54</f>
        <v>0</v>
      </c>
      <c r="E19" s="676">
        <f>transport!D54</f>
        <v>0</v>
      </c>
      <c r="F19" s="676">
        <f>transport!E54</f>
        <v>0</v>
      </c>
      <c r="G19" s="676">
        <f>transport!F54</f>
        <v>0</v>
      </c>
      <c r="H19" s="676">
        <f>transport!G54</f>
        <v>749.67704152565648</v>
      </c>
      <c r="I19" s="676">
        <f>transport!H54</f>
        <v>0</v>
      </c>
      <c r="J19" s="676">
        <f>transport!I54</f>
        <v>0</v>
      </c>
      <c r="K19" s="676">
        <f>transport!J54</f>
        <v>0</v>
      </c>
      <c r="L19" s="676">
        <f>transport!K54</f>
        <v>0</v>
      </c>
      <c r="M19" s="676">
        <f>transport!L54</f>
        <v>0</v>
      </c>
      <c r="N19" s="676">
        <f>transport!M54</f>
        <v>32.098291221921741</v>
      </c>
      <c r="O19" s="676">
        <f>transport!N54</f>
        <v>0</v>
      </c>
      <c r="P19" s="676">
        <f>transport!O54</f>
        <v>0</v>
      </c>
      <c r="Q19" s="677">
        <f>transport!P54</f>
        <v>0</v>
      </c>
      <c r="R19" s="679">
        <f>SUM(C19:Q19)</f>
        <v>785.23102178262809</v>
      </c>
      <c r="S19" s="67"/>
    </row>
    <row r="20" spans="1:19" s="445" customFormat="1">
      <c r="A20" s="791" t="s">
        <v>302</v>
      </c>
      <c r="B20" s="796"/>
      <c r="C20" s="676">
        <f>transport!B14</f>
        <v>0.85655632422436778</v>
      </c>
      <c r="D20" s="676">
        <f>transport!C14</f>
        <v>0</v>
      </c>
      <c r="E20" s="676">
        <f>transport!D14</f>
        <v>3.0437623717852591</v>
      </c>
      <c r="F20" s="676">
        <f>transport!E14</f>
        <v>310.00837247468655</v>
      </c>
      <c r="G20" s="676">
        <f>transport!F14</f>
        <v>0</v>
      </c>
      <c r="H20" s="676">
        <f>transport!G14</f>
        <v>66033.118871045401</v>
      </c>
      <c r="I20" s="676">
        <f>transport!H14</f>
        <v>9914.4240676588433</v>
      </c>
      <c r="J20" s="676">
        <f>transport!I14</f>
        <v>0</v>
      </c>
      <c r="K20" s="676">
        <f>transport!J14</f>
        <v>0</v>
      </c>
      <c r="L20" s="676">
        <f>transport!K14</f>
        <v>0</v>
      </c>
      <c r="M20" s="676">
        <f>transport!L14</f>
        <v>0</v>
      </c>
      <c r="N20" s="676">
        <f>transport!M14</f>
        <v>3300.9643390467204</v>
      </c>
      <c r="O20" s="676">
        <f>transport!N14</f>
        <v>0</v>
      </c>
      <c r="P20" s="676">
        <f>transport!O14</f>
        <v>0</v>
      </c>
      <c r="Q20" s="677">
        <f>transport!P14</f>
        <v>0</v>
      </c>
      <c r="R20" s="679">
        <f>SUM(C20:Q20)</f>
        <v>79562.415968921661</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4.3122453592743089</v>
      </c>
      <c r="D22" s="794">
        <f t="shared" ref="D22:R22" si="1">SUM(D18:D21)</f>
        <v>0</v>
      </c>
      <c r="E22" s="794">
        <f t="shared" si="1"/>
        <v>3.0437623717852591</v>
      </c>
      <c r="F22" s="794">
        <f t="shared" si="1"/>
        <v>310.00837247468655</v>
      </c>
      <c r="G22" s="794">
        <f t="shared" si="1"/>
        <v>0</v>
      </c>
      <c r="H22" s="794">
        <f t="shared" si="1"/>
        <v>66782.795912571062</v>
      </c>
      <c r="I22" s="794">
        <f t="shared" si="1"/>
        <v>9914.4240676588433</v>
      </c>
      <c r="J22" s="794">
        <f t="shared" si="1"/>
        <v>0</v>
      </c>
      <c r="K22" s="794">
        <f t="shared" si="1"/>
        <v>0</v>
      </c>
      <c r="L22" s="794">
        <f t="shared" si="1"/>
        <v>0</v>
      </c>
      <c r="M22" s="794">
        <f t="shared" si="1"/>
        <v>0</v>
      </c>
      <c r="N22" s="794">
        <f t="shared" si="1"/>
        <v>3333.0626302686424</v>
      </c>
      <c r="O22" s="794">
        <f t="shared" si="1"/>
        <v>0</v>
      </c>
      <c r="P22" s="794">
        <f t="shared" si="1"/>
        <v>0</v>
      </c>
      <c r="Q22" s="794">
        <f t="shared" si="1"/>
        <v>0</v>
      </c>
      <c r="R22" s="794">
        <f t="shared" si="1"/>
        <v>80347.646990704292</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9761.5950895809528</v>
      </c>
      <c r="D24" s="676">
        <f>+landbouw!C8</f>
        <v>0</v>
      </c>
      <c r="E24" s="676">
        <f>+landbouw!D8</f>
        <v>359.21282807458761</v>
      </c>
      <c r="F24" s="676">
        <f>+landbouw!E8</f>
        <v>102.22553707724879</v>
      </c>
      <c r="G24" s="676">
        <f>+landbouw!F8</f>
        <v>41787.044220406933</v>
      </c>
      <c r="H24" s="676">
        <f>+landbouw!G8</f>
        <v>0</v>
      </c>
      <c r="I24" s="676">
        <f>+landbouw!H8</f>
        <v>0</v>
      </c>
      <c r="J24" s="676">
        <f>+landbouw!I8</f>
        <v>0</v>
      </c>
      <c r="K24" s="676">
        <f>+landbouw!J8</f>
        <v>871.79793616899633</v>
      </c>
      <c r="L24" s="676">
        <f>+landbouw!K8</f>
        <v>0</v>
      </c>
      <c r="M24" s="676">
        <f>+landbouw!L8</f>
        <v>0</v>
      </c>
      <c r="N24" s="676">
        <f>+landbouw!M8</f>
        <v>0</v>
      </c>
      <c r="O24" s="676">
        <f>+landbouw!N8</f>
        <v>0</v>
      </c>
      <c r="P24" s="676">
        <f>+landbouw!O8</f>
        <v>0</v>
      </c>
      <c r="Q24" s="677">
        <f>+landbouw!P8</f>
        <v>0</v>
      </c>
      <c r="R24" s="679">
        <f>SUM(C24:Q24)</f>
        <v>52881.875611308715</v>
      </c>
      <c r="S24" s="67"/>
    </row>
    <row r="25" spans="1:19" s="445" customFormat="1" ht="15" thickBot="1">
      <c r="A25" s="813" t="s">
        <v>895</v>
      </c>
      <c r="B25" s="968"/>
      <c r="C25" s="969">
        <f>IF(Onbekend_ele_kWh="---",0,Onbekend_ele_kWh)/1000+IF(REST_rest_ele_kWh="---",0,REST_rest_ele_kWh)/1000</f>
        <v>2388.7911914207803</v>
      </c>
      <c r="D25" s="969"/>
      <c r="E25" s="969">
        <f>IF(onbekend_gas_kWh="---",0,onbekend_gas_kWh)/1000+IF(REST_rest_gas_kWh="---",0,REST_rest_gas_kWh)/1000</f>
        <v>4772.5350522735298</v>
      </c>
      <c r="F25" s="969"/>
      <c r="G25" s="969"/>
      <c r="H25" s="969"/>
      <c r="I25" s="969"/>
      <c r="J25" s="969"/>
      <c r="K25" s="969"/>
      <c r="L25" s="969"/>
      <c r="M25" s="969"/>
      <c r="N25" s="969"/>
      <c r="O25" s="969"/>
      <c r="P25" s="969"/>
      <c r="Q25" s="970"/>
      <c r="R25" s="679">
        <f>SUM(C25:Q25)</f>
        <v>7161.3262436943096</v>
      </c>
      <c r="S25" s="67"/>
    </row>
    <row r="26" spans="1:19" s="445" customFormat="1" ht="15.75" thickBot="1">
      <c r="A26" s="682" t="s">
        <v>896</v>
      </c>
      <c r="B26" s="799"/>
      <c r="C26" s="794">
        <f>SUM(C24:C25)</f>
        <v>12150.386281001733</v>
      </c>
      <c r="D26" s="794">
        <f t="shared" ref="D26:R26" si="2">SUM(D24:D25)</f>
        <v>0</v>
      </c>
      <c r="E26" s="794">
        <f t="shared" si="2"/>
        <v>5131.7478803481172</v>
      </c>
      <c r="F26" s="794">
        <f t="shared" si="2"/>
        <v>102.22553707724879</v>
      </c>
      <c r="G26" s="794">
        <f t="shared" si="2"/>
        <v>41787.044220406933</v>
      </c>
      <c r="H26" s="794">
        <f t="shared" si="2"/>
        <v>0</v>
      </c>
      <c r="I26" s="794">
        <f t="shared" si="2"/>
        <v>0</v>
      </c>
      <c r="J26" s="794">
        <f t="shared" si="2"/>
        <v>0</v>
      </c>
      <c r="K26" s="794">
        <f t="shared" si="2"/>
        <v>871.79793616899633</v>
      </c>
      <c r="L26" s="794">
        <f t="shared" si="2"/>
        <v>0</v>
      </c>
      <c r="M26" s="794">
        <f t="shared" si="2"/>
        <v>0</v>
      </c>
      <c r="N26" s="794">
        <f t="shared" si="2"/>
        <v>0</v>
      </c>
      <c r="O26" s="794">
        <f t="shared" si="2"/>
        <v>0</v>
      </c>
      <c r="P26" s="794">
        <f t="shared" si="2"/>
        <v>0</v>
      </c>
      <c r="Q26" s="794">
        <f t="shared" si="2"/>
        <v>0</v>
      </c>
      <c r="R26" s="794">
        <f t="shared" si="2"/>
        <v>60043.201855003026</v>
      </c>
      <c r="S26" s="67"/>
    </row>
    <row r="27" spans="1:19" s="445" customFormat="1" ht="17.25" thickTop="1" thickBot="1">
      <c r="A27" s="683" t="s">
        <v>115</v>
      </c>
      <c r="B27" s="786"/>
      <c r="C27" s="684">
        <f ca="1">C22+C16+C26</f>
        <v>112087.58657109439</v>
      </c>
      <c r="D27" s="684">
        <f t="shared" ref="D27:R27" ca="1" si="3">D22+D16+D26</f>
        <v>0</v>
      </c>
      <c r="E27" s="684">
        <f t="shared" ca="1" si="3"/>
        <v>158303.67771797592</v>
      </c>
      <c r="F27" s="684">
        <f t="shared" si="3"/>
        <v>3038.8597724119963</v>
      </c>
      <c r="G27" s="684">
        <f t="shared" ca="1" si="3"/>
        <v>118240.51428448624</v>
      </c>
      <c r="H27" s="684">
        <f t="shared" si="3"/>
        <v>66782.795912571062</v>
      </c>
      <c r="I27" s="684">
        <f t="shared" si="3"/>
        <v>9914.4240676588433</v>
      </c>
      <c r="J27" s="684">
        <f t="shared" si="3"/>
        <v>0</v>
      </c>
      <c r="K27" s="684">
        <f t="shared" si="3"/>
        <v>2451.6924390629624</v>
      </c>
      <c r="L27" s="684">
        <f t="shared" si="3"/>
        <v>0</v>
      </c>
      <c r="M27" s="684">
        <f t="shared" ca="1" si="3"/>
        <v>0</v>
      </c>
      <c r="N27" s="684">
        <f t="shared" si="3"/>
        <v>3333.0626302686424</v>
      </c>
      <c r="O27" s="684">
        <f t="shared" ca="1" si="3"/>
        <v>11588.360018936677</v>
      </c>
      <c r="P27" s="684">
        <f t="shared" si="3"/>
        <v>110.99666666666667</v>
      </c>
      <c r="Q27" s="684">
        <f t="shared" si="3"/>
        <v>362.26666666666665</v>
      </c>
      <c r="R27" s="684">
        <f t="shared" ca="1" si="3"/>
        <v>486214.23674780008</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4729.4000939984026</v>
      </c>
      <c r="D40" s="676">
        <f ca="1">tertiair!C20</f>
        <v>0</v>
      </c>
      <c r="E40" s="676">
        <f ca="1">tertiair!D20</f>
        <v>5062.55215703256</v>
      </c>
      <c r="F40" s="676">
        <f>tertiair!E20</f>
        <v>97.532023996473626</v>
      </c>
      <c r="G40" s="676">
        <f ca="1">tertiair!F20</f>
        <v>1119.1142263570916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11008.598501384526</v>
      </c>
    </row>
    <row r="41" spans="1:18">
      <c r="A41" s="804" t="s">
        <v>220</v>
      </c>
      <c r="B41" s="811"/>
      <c r="C41" s="676">
        <f ca="1">huishoudens!B12</f>
        <v>6492.7463633467787</v>
      </c>
      <c r="D41" s="676">
        <f ca="1">huishoudens!C12</f>
        <v>0</v>
      </c>
      <c r="E41" s="676">
        <f>huishoudens!D12</f>
        <v>13162.966239997322</v>
      </c>
      <c r="F41" s="676">
        <f>huishoudens!E12</f>
        <v>387.9951032914272</v>
      </c>
      <c r="G41" s="676">
        <f>huishoudens!F12</f>
        <v>15577.719043361032</v>
      </c>
      <c r="H41" s="676">
        <f>huishoudens!G12</f>
        <v>0</v>
      </c>
      <c r="I41" s="676">
        <f>huishoudens!H12</f>
        <v>0</v>
      </c>
      <c r="J41" s="676">
        <f>huishoudens!I12</f>
        <v>0</v>
      </c>
      <c r="K41" s="676">
        <f>huishoudens!J12</f>
        <v>465.06682231547234</v>
      </c>
      <c r="L41" s="676">
        <f>huishoudens!K12</f>
        <v>0</v>
      </c>
      <c r="M41" s="676">
        <f>huishoudens!L12</f>
        <v>0</v>
      </c>
      <c r="N41" s="676">
        <f>huishoudens!M12</f>
        <v>0</v>
      </c>
      <c r="O41" s="676">
        <f>huishoudens!N12</f>
        <v>0</v>
      </c>
      <c r="P41" s="676">
        <f>huishoudens!O12</f>
        <v>0</v>
      </c>
      <c r="Q41" s="751">
        <f>huishoudens!P12</f>
        <v>0</v>
      </c>
      <c r="R41" s="832">
        <f t="shared" ca="1" si="4"/>
        <v>36086.493572312036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9916.9401930599633</v>
      </c>
      <c r="D43" s="676">
        <f ca="1">industrie!C22</f>
        <v>0</v>
      </c>
      <c r="E43" s="676">
        <f>industrie!D22</f>
        <v>12714.596590171834</v>
      </c>
      <c r="F43" s="676">
        <f>industrie!E22</f>
        <v>110.71694358133307</v>
      </c>
      <c r="G43" s="676">
        <f>industrie!F22</f>
        <v>3716.2432373910565</v>
      </c>
      <c r="H43" s="676">
        <f>industrie!G22</f>
        <v>0</v>
      </c>
      <c r="I43" s="676">
        <f>industrie!H22</f>
        <v>0</v>
      </c>
      <c r="J43" s="676">
        <f>industrie!I22</f>
        <v>0</v>
      </c>
      <c r="K43" s="676">
        <f>industrie!J22</f>
        <v>94.215831708991701</v>
      </c>
      <c r="L43" s="676">
        <f>industrie!K22</f>
        <v>0</v>
      </c>
      <c r="M43" s="676">
        <f>industrie!L22</f>
        <v>0</v>
      </c>
      <c r="N43" s="676">
        <f>industrie!M22</f>
        <v>0</v>
      </c>
      <c r="O43" s="676">
        <f>industrie!N22</f>
        <v>0</v>
      </c>
      <c r="P43" s="676">
        <f>industrie!O22</f>
        <v>0</v>
      </c>
      <c r="Q43" s="751">
        <f>industrie!P22</f>
        <v>0</v>
      </c>
      <c r="R43" s="831">
        <f t="shared" ca="1" si="4"/>
        <v>26552.712795913179</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21139.086650405145</v>
      </c>
      <c r="D46" s="709">
        <f t="shared" ref="D46:Q46" ca="1" si="5">SUM(D39:D45)</f>
        <v>0</v>
      </c>
      <c r="E46" s="709">
        <f t="shared" ca="1" si="5"/>
        <v>30940.114987201716</v>
      </c>
      <c r="F46" s="709">
        <f t="shared" si="5"/>
        <v>596.24407086923395</v>
      </c>
      <c r="G46" s="709">
        <f t="shared" ca="1" si="5"/>
        <v>20413.076507109181</v>
      </c>
      <c r="H46" s="709">
        <f t="shared" si="5"/>
        <v>0</v>
      </c>
      <c r="I46" s="709">
        <f t="shared" si="5"/>
        <v>0</v>
      </c>
      <c r="J46" s="709">
        <f t="shared" si="5"/>
        <v>0</v>
      </c>
      <c r="K46" s="709">
        <f t="shared" si="5"/>
        <v>559.28265402446402</v>
      </c>
      <c r="L46" s="709">
        <f t="shared" si="5"/>
        <v>0</v>
      </c>
      <c r="M46" s="709">
        <f t="shared" ca="1" si="5"/>
        <v>0</v>
      </c>
      <c r="N46" s="709">
        <f t="shared" si="5"/>
        <v>0</v>
      </c>
      <c r="O46" s="709">
        <f t="shared" ca="1" si="5"/>
        <v>0</v>
      </c>
      <c r="P46" s="709">
        <f t="shared" si="5"/>
        <v>0</v>
      </c>
      <c r="Q46" s="709">
        <f t="shared" si="5"/>
        <v>0</v>
      </c>
      <c r="R46" s="709">
        <f ca="1">SUM(R39:R45)</f>
        <v>73647.804869609739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0.73099168229858325</v>
      </c>
      <c r="D49" s="676">
        <f ca="1">transport!C58</f>
        <v>0</v>
      </c>
      <c r="E49" s="676">
        <f>transport!D58</f>
        <v>0</v>
      </c>
      <c r="F49" s="676">
        <f>transport!E58</f>
        <v>0</v>
      </c>
      <c r="G49" s="676">
        <f>transport!F58</f>
        <v>0</v>
      </c>
      <c r="H49" s="676">
        <f>transport!G58</f>
        <v>200.16377008735029</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200.89476176964888</v>
      </c>
    </row>
    <row r="50" spans="1:18">
      <c r="A50" s="807" t="s">
        <v>302</v>
      </c>
      <c r="B50" s="817"/>
      <c r="C50" s="975">
        <f ca="1">transport!B18</f>
        <v>0.18118978359382751</v>
      </c>
      <c r="D50" s="975">
        <f>transport!C18</f>
        <v>0</v>
      </c>
      <c r="E50" s="975">
        <f>transport!D18</f>
        <v>0.61483999910062237</v>
      </c>
      <c r="F50" s="975">
        <f>transport!E18</f>
        <v>70.371900551753853</v>
      </c>
      <c r="G50" s="975">
        <f>transport!F18</f>
        <v>0</v>
      </c>
      <c r="H50" s="975">
        <f>transport!G18</f>
        <v>17630.842738569125</v>
      </c>
      <c r="I50" s="975">
        <f>transport!H18</f>
        <v>2468.6915928470521</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20170.702261750626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0.91218146589241078</v>
      </c>
      <c r="D52" s="709">
        <f t="shared" ref="D52:Q52" ca="1" si="6">SUM(D48:D51)</f>
        <v>0</v>
      </c>
      <c r="E52" s="709">
        <f t="shared" si="6"/>
        <v>0.61483999910062237</v>
      </c>
      <c r="F52" s="709">
        <f t="shared" si="6"/>
        <v>70.371900551753853</v>
      </c>
      <c r="G52" s="709">
        <f t="shared" si="6"/>
        <v>0</v>
      </c>
      <c r="H52" s="709">
        <f t="shared" si="6"/>
        <v>17831.006508656475</v>
      </c>
      <c r="I52" s="709">
        <f t="shared" si="6"/>
        <v>2468.6915928470521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20371.597023520277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2064.8978377613912</v>
      </c>
      <c r="D54" s="975">
        <f ca="1">+landbouw!C12</f>
        <v>0</v>
      </c>
      <c r="E54" s="975">
        <f>+landbouw!D12</f>
        <v>72.560991271066698</v>
      </c>
      <c r="F54" s="975">
        <f>+landbouw!E12</f>
        <v>23.205196916535474</v>
      </c>
      <c r="G54" s="975">
        <f>+landbouw!F12</f>
        <v>11157.140806848653</v>
      </c>
      <c r="H54" s="975">
        <f>+landbouw!G12</f>
        <v>0</v>
      </c>
      <c r="I54" s="975">
        <f>+landbouw!H12</f>
        <v>0</v>
      </c>
      <c r="J54" s="975">
        <f>+landbouw!I12</f>
        <v>0</v>
      </c>
      <c r="K54" s="975">
        <f>+landbouw!J12</f>
        <v>308.61646940382468</v>
      </c>
      <c r="L54" s="975">
        <f>+landbouw!K12</f>
        <v>0</v>
      </c>
      <c r="M54" s="975">
        <f>+landbouw!L12</f>
        <v>0</v>
      </c>
      <c r="N54" s="975">
        <f>+landbouw!M12</f>
        <v>0</v>
      </c>
      <c r="O54" s="975">
        <f>+landbouw!N12</f>
        <v>0</v>
      </c>
      <c r="P54" s="975">
        <f>+landbouw!O12</f>
        <v>0</v>
      </c>
      <c r="Q54" s="976">
        <f>+landbouw!P12</f>
        <v>0</v>
      </c>
      <c r="R54" s="708">
        <f ca="1">SUM(C54:Q54)</f>
        <v>13626.421302201472</v>
      </c>
    </row>
    <row r="55" spans="1:18" ht="15" thickBot="1">
      <c r="A55" s="807" t="s">
        <v>895</v>
      </c>
      <c r="B55" s="817"/>
      <c r="C55" s="975">
        <f ca="1">C25*'EF ele_warmte'!B12</f>
        <v>505.30776177072244</v>
      </c>
      <c r="D55" s="975"/>
      <c r="E55" s="975">
        <f>E25*EF_CO2_aardgas</f>
        <v>964.05208055925311</v>
      </c>
      <c r="F55" s="975"/>
      <c r="G55" s="975"/>
      <c r="H55" s="975"/>
      <c r="I55" s="975"/>
      <c r="J55" s="975"/>
      <c r="K55" s="975"/>
      <c r="L55" s="975"/>
      <c r="M55" s="975"/>
      <c r="N55" s="975"/>
      <c r="O55" s="975"/>
      <c r="P55" s="975"/>
      <c r="Q55" s="976"/>
      <c r="R55" s="708">
        <f ca="1">SUM(C55:Q55)</f>
        <v>1469.3598423299754</v>
      </c>
    </row>
    <row r="56" spans="1:18" ht="15.75" thickBot="1">
      <c r="A56" s="805" t="s">
        <v>896</v>
      </c>
      <c r="B56" s="818"/>
      <c r="C56" s="709">
        <f ca="1">SUM(C54:C55)</f>
        <v>2570.2055995321134</v>
      </c>
      <c r="D56" s="709">
        <f t="shared" ref="D56:Q56" ca="1" si="7">SUM(D54:D55)</f>
        <v>0</v>
      </c>
      <c r="E56" s="709">
        <f t="shared" si="7"/>
        <v>1036.6130718303198</v>
      </c>
      <c r="F56" s="709">
        <f t="shared" si="7"/>
        <v>23.205196916535474</v>
      </c>
      <c r="G56" s="709">
        <f t="shared" si="7"/>
        <v>11157.140806848653</v>
      </c>
      <c r="H56" s="709">
        <f t="shared" si="7"/>
        <v>0</v>
      </c>
      <c r="I56" s="709">
        <f t="shared" si="7"/>
        <v>0</v>
      </c>
      <c r="J56" s="709">
        <f t="shared" si="7"/>
        <v>0</v>
      </c>
      <c r="K56" s="709">
        <f t="shared" si="7"/>
        <v>308.61646940382468</v>
      </c>
      <c r="L56" s="709">
        <f t="shared" si="7"/>
        <v>0</v>
      </c>
      <c r="M56" s="709">
        <f t="shared" si="7"/>
        <v>0</v>
      </c>
      <c r="N56" s="709">
        <f t="shared" si="7"/>
        <v>0</v>
      </c>
      <c r="O56" s="709">
        <f t="shared" si="7"/>
        <v>0</v>
      </c>
      <c r="P56" s="709">
        <f t="shared" si="7"/>
        <v>0</v>
      </c>
      <c r="Q56" s="710">
        <f t="shared" si="7"/>
        <v>0</v>
      </c>
      <c r="R56" s="711">
        <f ca="1">SUM(R54:R55)</f>
        <v>15095.781144531447</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23710.204431403152</v>
      </c>
      <c r="D61" s="717">
        <f t="shared" ref="D61:Q61" ca="1" si="8">D46+D52+D56</f>
        <v>0</v>
      </c>
      <c r="E61" s="717">
        <f t="shared" ca="1" si="8"/>
        <v>31977.342899031137</v>
      </c>
      <c r="F61" s="717">
        <f t="shared" si="8"/>
        <v>689.8211683375232</v>
      </c>
      <c r="G61" s="717">
        <f t="shared" ca="1" si="8"/>
        <v>31570.217313957834</v>
      </c>
      <c r="H61" s="717">
        <f t="shared" si="8"/>
        <v>17831.006508656475</v>
      </c>
      <c r="I61" s="717">
        <f t="shared" si="8"/>
        <v>2468.6915928470521</v>
      </c>
      <c r="J61" s="717">
        <f t="shared" si="8"/>
        <v>0</v>
      </c>
      <c r="K61" s="717">
        <f t="shared" si="8"/>
        <v>867.8991234282887</v>
      </c>
      <c r="L61" s="717">
        <f t="shared" si="8"/>
        <v>0</v>
      </c>
      <c r="M61" s="717">
        <f t="shared" ca="1" si="8"/>
        <v>0</v>
      </c>
      <c r="N61" s="717">
        <f t="shared" si="8"/>
        <v>0</v>
      </c>
      <c r="O61" s="717">
        <f t="shared" ca="1" si="8"/>
        <v>0</v>
      </c>
      <c r="P61" s="717">
        <f t="shared" si="8"/>
        <v>0</v>
      </c>
      <c r="Q61" s="717">
        <f t="shared" si="8"/>
        <v>0</v>
      </c>
      <c r="R61" s="717">
        <f ca="1">R46+R52+R56</f>
        <v>109115.18303766145</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0.21153283032251172</v>
      </c>
      <c r="D63" s="761">
        <f t="shared" ca="1" si="9"/>
        <v>0</v>
      </c>
      <c r="E63" s="977">
        <f t="shared" ca="1" si="9"/>
        <v>0.20200000000000001</v>
      </c>
      <c r="F63" s="761">
        <f t="shared" si="9"/>
        <v>0.22700000000000001</v>
      </c>
      <c r="G63" s="761">
        <f t="shared" ca="1" si="9"/>
        <v>0.26700000000000007</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4801.5936688176953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4801.5936688176953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30693.799886512508</v>
      </c>
      <c r="C4" s="449">
        <f>huishoudens!C8</f>
        <v>0</v>
      </c>
      <c r="D4" s="449">
        <f>huishoudens!D8</f>
        <v>65163.199207907528</v>
      </c>
      <c r="E4" s="449">
        <f>huishoudens!E8</f>
        <v>1709.2295299181815</v>
      </c>
      <c r="F4" s="449">
        <f>huishoudens!F8</f>
        <v>58343.517016333448</v>
      </c>
      <c r="G4" s="449">
        <f>huishoudens!G8</f>
        <v>0</v>
      </c>
      <c r="H4" s="449">
        <f>huishoudens!H8</f>
        <v>0</v>
      </c>
      <c r="I4" s="449">
        <f>huishoudens!I8</f>
        <v>0</v>
      </c>
      <c r="J4" s="449">
        <f>huishoudens!J8</f>
        <v>1313.7480856369275</v>
      </c>
      <c r="K4" s="449">
        <f>huishoudens!K8</f>
        <v>0</v>
      </c>
      <c r="L4" s="449">
        <f>huishoudens!L8</f>
        <v>0</v>
      </c>
      <c r="M4" s="449">
        <f>huishoudens!M8</f>
        <v>0</v>
      </c>
      <c r="N4" s="449">
        <f>huishoudens!N8</f>
        <v>9791.641692574578</v>
      </c>
      <c r="O4" s="449">
        <f>huishoudens!O8</f>
        <v>110.99666666666667</v>
      </c>
      <c r="P4" s="450">
        <f>huishoudens!P8</f>
        <v>305.06666666666666</v>
      </c>
      <c r="Q4" s="451">
        <f>SUM(B4:P4)</f>
        <v>167431.19875221653</v>
      </c>
    </row>
    <row r="5" spans="1:17">
      <c r="A5" s="448" t="s">
        <v>155</v>
      </c>
      <c r="B5" s="449">
        <f ca="1">tertiair!B16</f>
        <v>20868.239250834795</v>
      </c>
      <c r="C5" s="449">
        <f ca="1">tertiair!C16</f>
        <v>0</v>
      </c>
      <c r="D5" s="449">
        <f ca="1">tertiair!D16</f>
        <v>25062.139391250294</v>
      </c>
      <c r="E5" s="449">
        <f>tertiair!E16</f>
        <v>429.65649337653576</v>
      </c>
      <c r="F5" s="449">
        <f ca="1">tertiair!F16</f>
        <v>4191.4390500265599</v>
      </c>
      <c r="G5" s="449">
        <f>tertiair!G16</f>
        <v>0</v>
      </c>
      <c r="H5" s="449">
        <f>tertiair!H16</f>
        <v>0</v>
      </c>
      <c r="I5" s="449">
        <f>tertiair!I16</f>
        <v>0</v>
      </c>
      <c r="J5" s="449">
        <f>tertiair!J16</f>
        <v>0</v>
      </c>
      <c r="K5" s="449">
        <f>tertiair!K16</f>
        <v>0</v>
      </c>
      <c r="L5" s="449">
        <f ca="1">tertiair!L16</f>
        <v>0</v>
      </c>
      <c r="M5" s="449">
        <f>tertiair!M16</f>
        <v>0</v>
      </c>
      <c r="N5" s="449">
        <f ca="1">tertiair!N16</f>
        <v>520.14778600902355</v>
      </c>
      <c r="O5" s="449">
        <f>tertiair!O16</f>
        <v>0</v>
      </c>
      <c r="P5" s="450">
        <f>tertiair!P16</f>
        <v>57.2</v>
      </c>
      <c r="Q5" s="448">
        <f t="shared" ref="Q5:Q14" ca="1" si="0">SUM(B5:P5)</f>
        <v>51128.8219714972</v>
      </c>
    </row>
    <row r="6" spans="1:17">
      <c r="A6" s="448" t="s">
        <v>193</v>
      </c>
      <c r="B6" s="449">
        <f>'openbare verlichting'!B8</f>
        <v>1489.52</v>
      </c>
      <c r="C6" s="449"/>
      <c r="D6" s="449"/>
      <c r="E6" s="449"/>
      <c r="F6" s="449"/>
      <c r="G6" s="449"/>
      <c r="H6" s="449"/>
      <c r="I6" s="449"/>
      <c r="J6" s="449"/>
      <c r="K6" s="449"/>
      <c r="L6" s="449"/>
      <c r="M6" s="449"/>
      <c r="N6" s="449"/>
      <c r="O6" s="449"/>
      <c r="P6" s="450"/>
      <c r="Q6" s="448">
        <f t="shared" si="0"/>
        <v>1489.52</v>
      </c>
    </row>
    <row r="7" spans="1:17">
      <c r="A7" s="448" t="s">
        <v>111</v>
      </c>
      <c r="B7" s="449">
        <f>landbouw!B8</f>
        <v>9761.5950895809528</v>
      </c>
      <c r="C7" s="449">
        <f>landbouw!C8</f>
        <v>0</v>
      </c>
      <c r="D7" s="449">
        <f>landbouw!D8</f>
        <v>359.21282807458761</v>
      </c>
      <c r="E7" s="449">
        <f>landbouw!E8</f>
        <v>102.22553707724879</v>
      </c>
      <c r="F7" s="449">
        <f>landbouw!F8</f>
        <v>41787.044220406933</v>
      </c>
      <c r="G7" s="449">
        <f>landbouw!G8</f>
        <v>0</v>
      </c>
      <c r="H7" s="449">
        <f>landbouw!H8</f>
        <v>0</v>
      </c>
      <c r="I7" s="449">
        <f>landbouw!I8</f>
        <v>0</v>
      </c>
      <c r="J7" s="449">
        <f>landbouw!J8</f>
        <v>871.79793616899633</v>
      </c>
      <c r="K7" s="449">
        <f>landbouw!K8</f>
        <v>0</v>
      </c>
      <c r="L7" s="449">
        <f>landbouw!L8</f>
        <v>0</v>
      </c>
      <c r="M7" s="449">
        <f>landbouw!M8</f>
        <v>0</v>
      </c>
      <c r="N7" s="449">
        <f>landbouw!N8</f>
        <v>0</v>
      </c>
      <c r="O7" s="449">
        <f>landbouw!O8</f>
        <v>0</v>
      </c>
      <c r="P7" s="450">
        <f>landbouw!P8</f>
        <v>0</v>
      </c>
      <c r="Q7" s="448">
        <f t="shared" si="0"/>
        <v>52881.875611308715</v>
      </c>
    </row>
    <row r="8" spans="1:17">
      <c r="A8" s="448" t="s">
        <v>643</v>
      </c>
      <c r="B8" s="449">
        <f>industrie!B18</f>
        <v>46881.328907386087</v>
      </c>
      <c r="C8" s="449">
        <f>industrie!C18</f>
        <v>0</v>
      </c>
      <c r="D8" s="449">
        <f>industrie!D18</f>
        <v>62943.547476098182</v>
      </c>
      <c r="E8" s="449">
        <f>industrie!E18</f>
        <v>487.73983956534391</v>
      </c>
      <c r="F8" s="449">
        <f>industrie!F18</f>
        <v>13918.513997719312</v>
      </c>
      <c r="G8" s="449">
        <f>industrie!G18</f>
        <v>0</v>
      </c>
      <c r="H8" s="449">
        <f>industrie!H18</f>
        <v>0</v>
      </c>
      <c r="I8" s="449">
        <f>industrie!I18</f>
        <v>0</v>
      </c>
      <c r="J8" s="449">
        <f>industrie!J18</f>
        <v>266.14641725703871</v>
      </c>
      <c r="K8" s="449">
        <f>industrie!K18</f>
        <v>0</v>
      </c>
      <c r="L8" s="449">
        <f>industrie!L18</f>
        <v>0</v>
      </c>
      <c r="M8" s="449">
        <f>industrie!M18</f>
        <v>0</v>
      </c>
      <c r="N8" s="449">
        <f>industrie!N18</f>
        <v>1276.5705403530758</v>
      </c>
      <c r="O8" s="449">
        <f>industrie!O18</f>
        <v>0</v>
      </c>
      <c r="P8" s="450">
        <f>industrie!P18</f>
        <v>0</v>
      </c>
      <c r="Q8" s="448">
        <f t="shared" si="0"/>
        <v>125773.84717837904</v>
      </c>
    </row>
    <row r="9" spans="1:17" s="454" customFormat="1">
      <c r="A9" s="452" t="s">
        <v>562</v>
      </c>
      <c r="B9" s="453">
        <f>transport!B14</f>
        <v>0.85655632422436778</v>
      </c>
      <c r="C9" s="453">
        <f>transport!C14</f>
        <v>0</v>
      </c>
      <c r="D9" s="453">
        <f>transport!D14</f>
        <v>3.0437623717852591</v>
      </c>
      <c r="E9" s="453">
        <f>transport!E14</f>
        <v>310.00837247468655</v>
      </c>
      <c r="F9" s="453">
        <f>transport!F14</f>
        <v>0</v>
      </c>
      <c r="G9" s="453">
        <f>transport!G14</f>
        <v>66033.118871045401</v>
      </c>
      <c r="H9" s="453">
        <f>transport!H14</f>
        <v>9914.4240676588433</v>
      </c>
      <c r="I9" s="453">
        <f>transport!I14</f>
        <v>0</v>
      </c>
      <c r="J9" s="453">
        <f>transport!J14</f>
        <v>0</v>
      </c>
      <c r="K9" s="453">
        <f>transport!K14</f>
        <v>0</v>
      </c>
      <c r="L9" s="453">
        <f>transport!L14</f>
        <v>0</v>
      </c>
      <c r="M9" s="453">
        <f>transport!M14</f>
        <v>3300.9643390467204</v>
      </c>
      <c r="N9" s="453">
        <f>transport!N14</f>
        <v>0</v>
      </c>
      <c r="O9" s="453">
        <f>transport!O14</f>
        <v>0</v>
      </c>
      <c r="P9" s="453">
        <f>transport!P14</f>
        <v>0</v>
      </c>
      <c r="Q9" s="452">
        <f>SUM(B9:P9)</f>
        <v>79562.415968921661</v>
      </c>
    </row>
    <row r="10" spans="1:17">
      <c r="A10" s="448" t="s">
        <v>552</v>
      </c>
      <c r="B10" s="449">
        <f>transport!B54</f>
        <v>3.4556890350499407</v>
      </c>
      <c r="C10" s="449">
        <f>transport!C54</f>
        <v>0</v>
      </c>
      <c r="D10" s="449">
        <f>transport!D54</f>
        <v>0</v>
      </c>
      <c r="E10" s="449">
        <f>transport!E54</f>
        <v>0</v>
      </c>
      <c r="F10" s="449">
        <f>transport!F54</f>
        <v>0</v>
      </c>
      <c r="G10" s="449">
        <f>transport!G54</f>
        <v>749.67704152565648</v>
      </c>
      <c r="H10" s="449">
        <f>transport!H54</f>
        <v>0</v>
      </c>
      <c r="I10" s="449">
        <f>transport!I54</f>
        <v>0</v>
      </c>
      <c r="J10" s="449">
        <f>transport!J54</f>
        <v>0</v>
      </c>
      <c r="K10" s="449">
        <f>transport!K54</f>
        <v>0</v>
      </c>
      <c r="L10" s="449">
        <f>transport!L54</f>
        <v>0</v>
      </c>
      <c r="M10" s="449">
        <f>transport!M54</f>
        <v>32.098291221921741</v>
      </c>
      <c r="N10" s="449">
        <f>transport!N54</f>
        <v>0</v>
      </c>
      <c r="O10" s="449">
        <f>transport!O54</f>
        <v>0</v>
      </c>
      <c r="P10" s="450">
        <f>transport!P54</f>
        <v>0</v>
      </c>
      <c r="Q10" s="448">
        <f t="shared" si="0"/>
        <v>785.23102178262809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2388.7911914207803</v>
      </c>
      <c r="C14" s="456"/>
      <c r="D14" s="456">
        <f>'SEAP template'!E25</f>
        <v>4772.5350522735298</v>
      </c>
      <c r="E14" s="456"/>
      <c r="F14" s="456"/>
      <c r="G14" s="456"/>
      <c r="H14" s="456"/>
      <c r="I14" s="456"/>
      <c r="J14" s="456"/>
      <c r="K14" s="456"/>
      <c r="L14" s="456"/>
      <c r="M14" s="456"/>
      <c r="N14" s="456"/>
      <c r="O14" s="456"/>
      <c r="P14" s="457"/>
      <c r="Q14" s="448">
        <f t="shared" si="0"/>
        <v>7161.3262436943096</v>
      </c>
    </row>
    <row r="15" spans="1:17" s="461" customFormat="1">
      <c r="A15" s="458" t="s">
        <v>556</v>
      </c>
      <c r="B15" s="459">
        <f ca="1">SUM(B4:B14)</f>
        <v>112087.58657109439</v>
      </c>
      <c r="C15" s="459">
        <f t="shared" ref="C15:Q15" ca="1" si="1">SUM(C4:C14)</f>
        <v>0</v>
      </c>
      <c r="D15" s="459">
        <f t="shared" ca="1" si="1"/>
        <v>158303.67771797592</v>
      </c>
      <c r="E15" s="459">
        <f t="shared" si="1"/>
        <v>3038.8597724119963</v>
      </c>
      <c r="F15" s="459">
        <f t="shared" ca="1" si="1"/>
        <v>118240.51428448626</v>
      </c>
      <c r="G15" s="459">
        <f t="shared" si="1"/>
        <v>66782.795912571062</v>
      </c>
      <c r="H15" s="459">
        <f t="shared" si="1"/>
        <v>9914.4240676588433</v>
      </c>
      <c r="I15" s="459">
        <f t="shared" si="1"/>
        <v>0</v>
      </c>
      <c r="J15" s="459">
        <f t="shared" si="1"/>
        <v>2451.6924390629624</v>
      </c>
      <c r="K15" s="459">
        <f t="shared" si="1"/>
        <v>0</v>
      </c>
      <c r="L15" s="459">
        <f t="shared" ca="1" si="1"/>
        <v>0</v>
      </c>
      <c r="M15" s="459">
        <f t="shared" si="1"/>
        <v>3333.0626302686424</v>
      </c>
      <c r="N15" s="459">
        <f t="shared" ca="1" si="1"/>
        <v>11588.360018936677</v>
      </c>
      <c r="O15" s="459">
        <f t="shared" si="1"/>
        <v>110.99666666666667</v>
      </c>
      <c r="P15" s="459">
        <f t="shared" si="1"/>
        <v>362.26666666666665</v>
      </c>
      <c r="Q15" s="459">
        <f t="shared" ca="1" si="1"/>
        <v>486214.23674780008</v>
      </c>
    </row>
    <row r="17" spans="1:17">
      <c r="A17" s="462" t="s">
        <v>557</v>
      </c>
      <c r="B17" s="766">
        <f ca="1">huishoudens!B10</f>
        <v>0.21153283032251169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6492.7463633467787</v>
      </c>
      <c r="C22" s="449">
        <f t="shared" ref="C22:C32" ca="1" si="3">C4*$C$17</f>
        <v>0</v>
      </c>
      <c r="D22" s="449">
        <f t="shared" ref="D22:D32" si="4">D4*$D$17</f>
        <v>13162.966239997322</v>
      </c>
      <c r="E22" s="449">
        <f t="shared" ref="E22:E32" si="5">E4*$E$17</f>
        <v>387.9951032914272</v>
      </c>
      <c r="F22" s="449">
        <f t="shared" ref="F22:F32" si="6">F4*$F$17</f>
        <v>15577.719043361032</v>
      </c>
      <c r="G22" s="449">
        <f t="shared" ref="G22:G32" si="7">G4*$G$17</f>
        <v>0</v>
      </c>
      <c r="H22" s="449">
        <f t="shared" ref="H22:H32" si="8">H4*$H$17</f>
        <v>0</v>
      </c>
      <c r="I22" s="449">
        <f t="shared" ref="I22:I32" si="9">I4*$I$17</f>
        <v>0</v>
      </c>
      <c r="J22" s="449">
        <f t="shared" ref="J22:J32" si="10">J4*$J$17</f>
        <v>465.06682231547234</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36086.493572312036</v>
      </c>
    </row>
    <row r="23" spans="1:17">
      <c r="A23" s="448" t="s">
        <v>155</v>
      </c>
      <c r="B23" s="449">
        <f t="shared" ca="1" si="2"/>
        <v>4414.317712576415</v>
      </c>
      <c r="C23" s="449">
        <f t="shared" ca="1" si="3"/>
        <v>0</v>
      </c>
      <c r="D23" s="449">
        <f t="shared" ca="1" si="4"/>
        <v>5062.55215703256</v>
      </c>
      <c r="E23" s="449">
        <f t="shared" si="5"/>
        <v>97.532023996473626</v>
      </c>
      <c r="F23" s="449">
        <f t="shared" ca="1" si="6"/>
        <v>1119.1142263570916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10693.516119962538</v>
      </c>
    </row>
    <row r="24" spans="1:17">
      <c r="A24" s="448" t="s">
        <v>193</v>
      </c>
      <c r="B24" s="449">
        <f t="shared" ca="1" si="2"/>
        <v>315.08238142198763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315.08238142198763</v>
      </c>
    </row>
    <row r="25" spans="1:17">
      <c r="A25" s="448" t="s">
        <v>111</v>
      </c>
      <c r="B25" s="449">
        <f t="shared" ca="1" si="2"/>
        <v>2064.8978377613912</v>
      </c>
      <c r="C25" s="449">
        <f t="shared" ca="1" si="3"/>
        <v>0</v>
      </c>
      <c r="D25" s="449">
        <f t="shared" si="4"/>
        <v>72.560991271066698</v>
      </c>
      <c r="E25" s="449">
        <f t="shared" si="5"/>
        <v>23.205196916535474</v>
      </c>
      <c r="F25" s="449">
        <f t="shared" si="6"/>
        <v>11157.140806848653</v>
      </c>
      <c r="G25" s="449">
        <f t="shared" si="7"/>
        <v>0</v>
      </c>
      <c r="H25" s="449">
        <f t="shared" si="8"/>
        <v>0</v>
      </c>
      <c r="I25" s="449">
        <f t="shared" si="9"/>
        <v>0</v>
      </c>
      <c r="J25" s="449">
        <f t="shared" si="10"/>
        <v>308.61646940382468</v>
      </c>
      <c r="K25" s="449">
        <f t="shared" si="11"/>
        <v>0</v>
      </c>
      <c r="L25" s="449">
        <f t="shared" si="12"/>
        <v>0</v>
      </c>
      <c r="M25" s="449">
        <f t="shared" si="13"/>
        <v>0</v>
      </c>
      <c r="N25" s="449">
        <f t="shared" si="14"/>
        <v>0</v>
      </c>
      <c r="O25" s="449">
        <f t="shared" si="15"/>
        <v>0</v>
      </c>
      <c r="P25" s="450">
        <f t="shared" si="16"/>
        <v>0</v>
      </c>
      <c r="Q25" s="448">
        <f t="shared" ca="1" si="17"/>
        <v>13626.421302201472</v>
      </c>
    </row>
    <row r="26" spans="1:17">
      <c r="A26" s="448" t="s">
        <v>643</v>
      </c>
      <c r="B26" s="449">
        <f t="shared" ca="1" si="2"/>
        <v>9916.9401930599633</v>
      </c>
      <c r="C26" s="449">
        <f t="shared" ca="1" si="3"/>
        <v>0</v>
      </c>
      <c r="D26" s="449">
        <f t="shared" si="4"/>
        <v>12714.596590171834</v>
      </c>
      <c r="E26" s="449">
        <f t="shared" si="5"/>
        <v>110.71694358133307</v>
      </c>
      <c r="F26" s="449">
        <f t="shared" si="6"/>
        <v>3716.2432373910565</v>
      </c>
      <c r="G26" s="449">
        <f t="shared" si="7"/>
        <v>0</v>
      </c>
      <c r="H26" s="449">
        <f t="shared" si="8"/>
        <v>0</v>
      </c>
      <c r="I26" s="449">
        <f t="shared" si="9"/>
        <v>0</v>
      </c>
      <c r="J26" s="449">
        <f t="shared" si="10"/>
        <v>94.215831708991701</v>
      </c>
      <c r="K26" s="449">
        <f t="shared" si="11"/>
        <v>0</v>
      </c>
      <c r="L26" s="449">
        <f t="shared" si="12"/>
        <v>0</v>
      </c>
      <c r="M26" s="449">
        <f t="shared" si="13"/>
        <v>0</v>
      </c>
      <c r="N26" s="449">
        <f t="shared" si="14"/>
        <v>0</v>
      </c>
      <c r="O26" s="449">
        <f t="shared" si="15"/>
        <v>0</v>
      </c>
      <c r="P26" s="450">
        <f t="shared" si="16"/>
        <v>0</v>
      </c>
      <c r="Q26" s="448">
        <f t="shared" ca="1" si="17"/>
        <v>26552.712795913179</v>
      </c>
    </row>
    <row r="27" spans="1:17" s="454" customFormat="1">
      <c r="A27" s="452" t="s">
        <v>562</v>
      </c>
      <c r="B27" s="760">
        <f t="shared" ca="1" si="2"/>
        <v>0.18118978359382751</v>
      </c>
      <c r="C27" s="453">
        <f t="shared" ca="1" si="3"/>
        <v>0</v>
      </c>
      <c r="D27" s="453">
        <f t="shared" si="4"/>
        <v>0.61483999910062237</v>
      </c>
      <c r="E27" s="453">
        <f t="shared" si="5"/>
        <v>70.371900551753853</v>
      </c>
      <c r="F27" s="453">
        <f t="shared" si="6"/>
        <v>0</v>
      </c>
      <c r="G27" s="453">
        <f t="shared" si="7"/>
        <v>17630.842738569125</v>
      </c>
      <c r="H27" s="453">
        <f t="shared" si="8"/>
        <v>2468.6915928470521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20170.702261750626</v>
      </c>
    </row>
    <row r="28" spans="1:17">
      <c r="A28" s="448" t="s">
        <v>552</v>
      </c>
      <c r="B28" s="449">
        <f t="shared" ca="1" si="2"/>
        <v>0.73099168229858325</v>
      </c>
      <c r="C28" s="449">
        <f t="shared" ca="1" si="3"/>
        <v>0</v>
      </c>
      <c r="D28" s="449">
        <f t="shared" si="4"/>
        <v>0</v>
      </c>
      <c r="E28" s="449">
        <f t="shared" si="5"/>
        <v>0</v>
      </c>
      <c r="F28" s="449">
        <f t="shared" si="6"/>
        <v>0</v>
      </c>
      <c r="G28" s="449">
        <f t="shared" si="7"/>
        <v>200.16377008735029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200.89476176964888</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505.30776177072244</v>
      </c>
      <c r="C32" s="449">
        <f t="shared" ca="1" si="3"/>
        <v>0</v>
      </c>
      <c r="D32" s="449">
        <f t="shared" si="4"/>
        <v>964.05208055925311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1469.3598423299754</v>
      </c>
    </row>
    <row r="33" spans="1:17" s="461" customFormat="1">
      <c r="A33" s="458" t="s">
        <v>556</v>
      </c>
      <c r="B33" s="459">
        <f ca="1">SUM(B22:B32)</f>
        <v>23710.204431403152</v>
      </c>
      <c r="C33" s="459">
        <f t="shared" ref="C33:Q33" ca="1" si="19">SUM(C22:C32)</f>
        <v>0</v>
      </c>
      <c r="D33" s="459">
        <f t="shared" ca="1" si="19"/>
        <v>31977.342899031137</v>
      </c>
      <c r="E33" s="459">
        <f t="shared" si="19"/>
        <v>689.8211683375232</v>
      </c>
      <c r="F33" s="459">
        <f t="shared" ca="1" si="19"/>
        <v>31570.217313957834</v>
      </c>
      <c r="G33" s="459">
        <f t="shared" si="19"/>
        <v>17831.006508656475</v>
      </c>
      <c r="H33" s="459">
        <f t="shared" si="19"/>
        <v>2468.6915928470521</v>
      </c>
      <c r="I33" s="459">
        <f t="shared" si="19"/>
        <v>0</v>
      </c>
      <c r="J33" s="459">
        <f t="shared" si="19"/>
        <v>867.8991234282887</v>
      </c>
      <c r="K33" s="459">
        <f t="shared" si="19"/>
        <v>0</v>
      </c>
      <c r="L33" s="459">
        <f t="shared" ca="1" si="19"/>
        <v>0</v>
      </c>
      <c r="M33" s="459">
        <f t="shared" si="19"/>
        <v>0</v>
      </c>
      <c r="N33" s="459">
        <f t="shared" ca="1" si="19"/>
        <v>0</v>
      </c>
      <c r="O33" s="459">
        <f t="shared" si="19"/>
        <v>0</v>
      </c>
      <c r="P33" s="459">
        <f t="shared" si="19"/>
        <v>0</v>
      </c>
      <c r="Q33" s="459">
        <f t="shared" ca="1" si="19"/>
        <v>109115.18303766147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4801.5936688176953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4801.5936688176953</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0.21153283032251169</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0.21153283032251169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0</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0</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0.21153283032251169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0.21153283032251169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8062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9623</v>
      </c>
      <c r="C14" s="326"/>
      <c r="D14" s="326"/>
      <c r="E14" s="326"/>
      <c r="F14" s="326"/>
    </row>
    <row r="15" spans="1:6">
      <c r="A15" s="1282" t="s">
        <v>183</v>
      </c>
      <c r="B15" s="1283">
        <v>114</v>
      </c>
      <c r="C15" s="326"/>
      <c r="D15" s="326"/>
      <c r="E15" s="326"/>
      <c r="F15" s="326"/>
    </row>
    <row r="16" spans="1:6">
      <c r="A16" s="1282" t="s">
        <v>6</v>
      </c>
      <c r="B16" s="1283">
        <v>2728</v>
      </c>
      <c r="C16" s="326"/>
      <c r="D16" s="326"/>
      <c r="E16" s="326"/>
      <c r="F16" s="326"/>
    </row>
    <row r="17" spans="1:6">
      <c r="A17" s="1282" t="s">
        <v>7</v>
      </c>
      <c r="B17" s="1283">
        <v>2497</v>
      </c>
      <c r="C17" s="326"/>
      <c r="D17" s="326"/>
      <c r="E17" s="326"/>
      <c r="F17" s="326"/>
    </row>
    <row r="18" spans="1:6">
      <c r="A18" s="1282" t="s">
        <v>8</v>
      </c>
      <c r="B18" s="1283">
        <v>3207</v>
      </c>
      <c r="C18" s="326"/>
      <c r="D18" s="326"/>
      <c r="E18" s="326"/>
      <c r="F18" s="326"/>
    </row>
    <row r="19" spans="1:6">
      <c r="A19" s="1282" t="s">
        <v>9</v>
      </c>
      <c r="B19" s="1283">
        <v>3029</v>
      </c>
      <c r="C19" s="326"/>
      <c r="D19" s="326"/>
      <c r="E19" s="326"/>
      <c r="F19" s="326"/>
    </row>
    <row r="20" spans="1:6">
      <c r="A20" s="1282" t="s">
        <v>10</v>
      </c>
      <c r="B20" s="1283">
        <v>2142</v>
      </c>
      <c r="C20" s="326"/>
      <c r="D20" s="326"/>
      <c r="E20" s="326"/>
      <c r="F20" s="326"/>
    </row>
    <row r="21" spans="1:6">
      <c r="A21" s="1282" t="s">
        <v>11</v>
      </c>
      <c r="B21" s="1283">
        <v>45411</v>
      </c>
      <c r="C21" s="326"/>
      <c r="D21" s="326"/>
      <c r="E21" s="326"/>
      <c r="F21" s="326"/>
    </row>
    <row r="22" spans="1:6">
      <c r="A22" s="1282" t="s">
        <v>12</v>
      </c>
      <c r="B22" s="1283">
        <v>85843</v>
      </c>
      <c r="C22" s="326"/>
      <c r="D22" s="326"/>
      <c r="E22" s="326"/>
      <c r="F22" s="326"/>
    </row>
    <row r="23" spans="1:6">
      <c r="A23" s="1282" t="s">
        <v>13</v>
      </c>
      <c r="B23" s="1283">
        <v>1790</v>
      </c>
      <c r="C23" s="326"/>
      <c r="D23" s="326"/>
      <c r="E23" s="326"/>
      <c r="F23" s="326"/>
    </row>
    <row r="24" spans="1:6">
      <c r="A24" s="1282" t="s">
        <v>14</v>
      </c>
      <c r="B24" s="1283">
        <v>483</v>
      </c>
      <c r="C24" s="326"/>
      <c r="D24" s="326"/>
      <c r="E24" s="326"/>
      <c r="F24" s="326"/>
    </row>
    <row r="25" spans="1:6">
      <c r="A25" s="1282" t="s">
        <v>15</v>
      </c>
      <c r="B25" s="1283">
        <v>11786</v>
      </c>
      <c r="C25" s="326"/>
      <c r="D25" s="326"/>
      <c r="E25" s="326"/>
      <c r="F25" s="326"/>
    </row>
    <row r="26" spans="1:6">
      <c r="A26" s="1282" t="s">
        <v>16</v>
      </c>
      <c r="B26" s="1283">
        <v>618</v>
      </c>
      <c r="C26" s="326"/>
      <c r="D26" s="326"/>
      <c r="E26" s="326"/>
      <c r="F26" s="326"/>
    </row>
    <row r="27" spans="1:6">
      <c r="A27" s="1282" t="s">
        <v>17</v>
      </c>
      <c r="B27" s="1283">
        <v>27</v>
      </c>
      <c r="C27" s="326"/>
      <c r="D27" s="326"/>
      <c r="E27" s="326"/>
      <c r="F27" s="326"/>
    </row>
    <row r="28" spans="1:6" s="43" customFormat="1">
      <c r="A28" s="1284" t="s">
        <v>18</v>
      </c>
      <c r="B28" s="1285">
        <v>463831</v>
      </c>
      <c r="C28" s="332"/>
      <c r="D28" s="332"/>
      <c r="E28" s="332"/>
      <c r="F28" s="332"/>
    </row>
    <row r="29" spans="1:6">
      <c r="A29" s="1284" t="s">
        <v>978</v>
      </c>
      <c r="B29" s="1285">
        <v>174</v>
      </c>
      <c r="C29" s="332"/>
      <c r="D29" s="332"/>
      <c r="E29" s="332"/>
      <c r="F29" s="332"/>
    </row>
    <row r="30" spans="1:6">
      <c r="A30" s="1277" t="s">
        <v>979</v>
      </c>
      <c r="B30" s="1286">
        <v>66</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1</v>
      </c>
      <c r="D38" s="1283">
        <v>117231.11181139</v>
      </c>
      <c r="E38" s="1283">
        <v>4</v>
      </c>
      <c r="F38" s="1283">
        <v>5601.2044361968001</v>
      </c>
    </row>
    <row r="39" spans="1:6">
      <c r="A39" s="1282" t="s">
        <v>29</v>
      </c>
      <c r="B39" s="1282" t="s">
        <v>30</v>
      </c>
      <c r="C39" s="1283">
        <v>4742</v>
      </c>
      <c r="D39" s="1283">
        <v>72243014.642912999</v>
      </c>
      <c r="E39" s="1283">
        <v>7419</v>
      </c>
      <c r="F39" s="1283">
        <v>28470231.3488864</v>
      </c>
    </row>
    <row r="40" spans="1:6">
      <c r="A40" s="1282" t="s">
        <v>29</v>
      </c>
      <c r="B40" s="1282" t="s">
        <v>28</v>
      </c>
      <c r="C40" s="1283">
        <v>0</v>
      </c>
      <c r="D40" s="1283">
        <v>0</v>
      </c>
      <c r="E40" s="1283">
        <v>0</v>
      </c>
      <c r="F40" s="1283">
        <v>0</v>
      </c>
    </row>
    <row r="41" spans="1:6">
      <c r="A41" s="1282" t="s">
        <v>31</v>
      </c>
      <c r="B41" s="1282" t="s">
        <v>32</v>
      </c>
      <c r="C41" s="1283">
        <v>73</v>
      </c>
      <c r="D41" s="1283">
        <v>4986419.6818370596</v>
      </c>
      <c r="E41" s="1283">
        <v>239</v>
      </c>
      <c r="F41" s="1283">
        <v>7952175.6830816604</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11</v>
      </c>
      <c r="F44" s="1283">
        <v>493715.83235873602</v>
      </c>
    </row>
    <row r="45" spans="1:6">
      <c r="A45" s="1282" t="s">
        <v>31</v>
      </c>
      <c r="B45" s="1282" t="s">
        <v>36</v>
      </c>
      <c r="C45" s="1283">
        <v>0</v>
      </c>
      <c r="D45" s="1283">
        <v>0</v>
      </c>
      <c r="E45" s="1283">
        <v>3</v>
      </c>
      <c r="F45" s="1283">
        <v>16068.7152237068</v>
      </c>
    </row>
    <row r="46" spans="1:6">
      <c r="A46" s="1282" t="s">
        <v>31</v>
      </c>
      <c r="B46" s="1282" t="s">
        <v>37</v>
      </c>
      <c r="C46" s="1283">
        <v>0</v>
      </c>
      <c r="D46" s="1283">
        <v>0</v>
      </c>
      <c r="E46" s="1283">
        <v>0</v>
      </c>
      <c r="F46" s="1283">
        <v>0</v>
      </c>
    </row>
    <row r="47" spans="1:6">
      <c r="A47" s="1282" t="s">
        <v>31</v>
      </c>
      <c r="B47" s="1282" t="s">
        <v>38</v>
      </c>
      <c r="C47" s="1283">
        <v>4</v>
      </c>
      <c r="D47" s="1283">
        <v>95580.454045884093</v>
      </c>
      <c r="E47" s="1283">
        <v>7</v>
      </c>
      <c r="F47" s="1283">
        <v>160368.61002767901</v>
      </c>
    </row>
    <row r="48" spans="1:6">
      <c r="A48" s="1282" t="s">
        <v>31</v>
      </c>
      <c r="B48" s="1282" t="s">
        <v>28</v>
      </c>
      <c r="C48" s="1283">
        <v>51</v>
      </c>
      <c r="D48" s="1283">
        <v>63966161.501269102</v>
      </c>
      <c r="E48" s="1283">
        <v>65</v>
      </c>
      <c r="F48" s="1283">
        <v>37318231.853117503</v>
      </c>
    </row>
    <row r="49" spans="1:6">
      <c r="A49" s="1282" t="s">
        <v>31</v>
      </c>
      <c r="B49" s="1282" t="s">
        <v>39</v>
      </c>
      <c r="C49" s="1283">
        <v>0</v>
      </c>
      <c r="D49" s="1283">
        <v>0</v>
      </c>
      <c r="E49" s="1283">
        <v>0</v>
      </c>
      <c r="F49" s="1283">
        <v>0</v>
      </c>
    </row>
    <row r="50" spans="1:6">
      <c r="A50" s="1282" t="s">
        <v>31</v>
      </c>
      <c r="B50" s="1282" t="s">
        <v>40</v>
      </c>
      <c r="C50" s="1283">
        <v>12</v>
      </c>
      <c r="D50" s="1283">
        <v>734041.773156357</v>
      </c>
      <c r="E50" s="1283">
        <v>27</v>
      </c>
      <c r="F50" s="1283">
        <v>940768.21357679903</v>
      </c>
    </row>
    <row r="51" spans="1:6">
      <c r="A51" s="1282" t="s">
        <v>41</v>
      </c>
      <c r="B51" s="1282" t="s">
        <v>42</v>
      </c>
      <c r="C51" s="1283">
        <v>11</v>
      </c>
      <c r="D51" s="1283">
        <v>272463.66637656698</v>
      </c>
      <c r="E51" s="1283">
        <v>336</v>
      </c>
      <c r="F51" s="1283">
        <v>9316291.8699613996</v>
      </c>
    </row>
    <row r="52" spans="1:6">
      <c r="A52" s="1282" t="s">
        <v>41</v>
      </c>
      <c r="B52" s="1282" t="s">
        <v>28</v>
      </c>
      <c r="C52" s="1283">
        <v>6</v>
      </c>
      <c r="D52" s="1283">
        <v>125776.719515437</v>
      </c>
      <c r="E52" s="1283">
        <v>17</v>
      </c>
      <c r="F52" s="1283">
        <v>445303.219619554</v>
      </c>
    </row>
    <row r="53" spans="1:6">
      <c r="A53" s="1282" t="s">
        <v>43</v>
      </c>
      <c r="B53" s="1282" t="s">
        <v>44</v>
      </c>
      <c r="C53" s="1283">
        <v>244</v>
      </c>
      <c r="D53" s="1283">
        <v>4772535.0522735296</v>
      </c>
      <c r="E53" s="1283">
        <v>412</v>
      </c>
      <c r="F53" s="1283">
        <v>2388791.19142078</v>
      </c>
    </row>
    <row r="54" spans="1:6">
      <c r="A54" s="1282" t="s">
        <v>45</v>
      </c>
      <c r="B54" s="1282" t="s">
        <v>46</v>
      </c>
      <c r="C54" s="1283">
        <v>0</v>
      </c>
      <c r="D54" s="1283">
        <v>0</v>
      </c>
      <c r="E54" s="1283">
        <v>2</v>
      </c>
      <c r="F54" s="1283">
        <v>1489520</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33</v>
      </c>
      <c r="D57" s="1283">
        <v>1254999.0009645999</v>
      </c>
      <c r="E57" s="1283">
        <v>82</v>
      </c>
      <c r="F57" s="1283">
        <v>1485392.52656964</v>
      </c>
    </row>
    <row r="58" spans="1:6">
      <c r="A58" s="1282" t="s">
        <v>48</v>
      </c>
      <c r="B58" s="1282" t="s">
        <v>50</v>
      </c>
      <c r="C58" s="1283">
        <v>24</v>
      </c>
      <c r="D58" s="1283">
        <v>1104579.90467947</v>
      </c>
      <c r="E58" s="1283">
        <v>35</v>
      </c>
      <c r="F58" s="1283">
        <v>1425934.0812079799</v>
      </c>
    </row>
    <row r="59" spans="1:6">
      <c r="A59" s="1282" t="s">
        <v>48</v>
      </c>
      <c r="B59" s="1282" t="s">
        <v>51</v>
      </c>
      <c r="C59" s="1283">
        <v>139</v>
      </c>
      <c r="D59" s="1283">
        <v>4671435.5552784</v>
      </c>
      <c r="E59" s="1283">
        <v>280</v>
      </c>
      <c r="F59" s="1283">
        <v>6156308.1610797904</v>
      </c>
    </row>
    <row r="60" spans="1:6">
      <c r="A60" s="1282" t="s">
        <v>48</v>
      </c>
      <c r="B60" s="1282" t="s">
        <v>52</v>
      </c>
      <c r="C60" s="1283">
        <v>73</v>
      </c>
      <c r="D60" s="1283">
        <v>3167787.4645171999</v>
      </c>
      <c r="E60" s="1283">
        <v>110</v>
      </c>
      <c r="F60" s="1283">
        <v>3047075.4913270599</v>
      </c>
    </row>
    <row r="61" spans="1:6">
      <c r="A61" s="1282" t="s">
        <v>48</v>
      </c>
      <c r="B61" s="1282" t="s">
        <v>53</v>
      </c>
      <c r="C61" s="1283">
        <v>99</v>
      </c>
      <c r="D61" s="1283">
        <v>4437834.1838941202</v>
      </c>
      <c r="E61" s="1283">
        <v>244</v>
      </c>
      <c r="F61" s="1283">
        <v>3245658.5946353399</v>
      </c>
    </row>
    <row r="62" spans="1:6">
      <c r="A62" s="1282" t="s">
        <v>48</v>
      </c>
      <c r="B62" s="1282" t="s">
        <v>54</v>
      </c>
      <c r="C62" s="1283">
        <v>18</v>
      </c>
      <c r="D62" s="1283">
        <v>2626030.1113216099</v>
      </c>
      <c r="E62" s="1283">
        <v>16</v>
      </c>
      <c r="F62" s="1283">
        <v>736252.331681435</v>
      </c>
    </row>
    <row r="63" spans="1:6">
      <c r="A63" s="1282" t="s">
        <v>48</v>
      </c>
      <c r="B63" s="1282" t="s">
        <v>28</v>
      </c>
      <c r="C63" s="1283">
        <v>118</v>
      </c>
      <c r="D63" s="1283">
        <v>10522410.709777299</v>
      </c>
      <c r="E63" s="1283">
        <v>166</v>
      </c>
      <c r="F63" s="1283">
        <v>4771618.0643335497</v>
      </c>
    </row>
    <row r="64" spans="1:6">
      <c r="A64" s="1282" t="s">
        <v>55</v>
      </c>
      <c r="B64" s="1282" t="s">
        <v>56</v>
      </c>
      <c r="C64" s="1283">
        <v>0</v>
      </c>
      <c r="D64" s="1283">
        <v>0</v>
      </c>
      <c r="E64" s="1283">
        <v>0</v>
      </c>
      <c r="F64" s="1283">
        <v>0</v>
      </c>
    </row>
    <row r="65" spans="1:6">
      <c r="A65" s="1282" t="s">
        <v>55</v>
      </c>
      <c r="B65" s="1282" t="s">
        <v>28</v>
      </c>
      <c r="C65" s="1283">
        <v>3</v>
      </c>
      <c r="D65" s="1283">
        <v>105105.749098851</v>
      </c>
      <c r="E65" s="1283">
        <v>3</v>
      </c>
      <c r="F65" s="1283">
        <v>62779.194548034699</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8</v>
      </c>
      <c r="D68" s="1286">
        <v>307874.778956939</v>
      </c>
      <c r="E68" s="1286">
        <v>21</v>
      </c>
      <c r="F68" s="1286">
        <v>237198.47140741599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54450746</v>
      </c>
      <c r="E73" s="447"/>
      <c r="F73" s="326"/>
    </row>
    <row r="74" spans="1:6">
      <c r="A74" s="1282" t="s">
        <v>63</v>
      </c>
      <c r="B74" s="1282" t="s">
        <v>760</v>
      </c>
      <c r="C74" s="1296" t="s">
        <v>761</v>
      </c>
      <c r="D74" s="1297">
        <v>8306006.4770512665</v>
      </c>
      <c r="E74" s="447"/>
      <c r="F74" s="326"/>
    </row>
    <row r="75" spans="1:6">
      <c r="A75" s="1282" t="s">
        <v>64</v>
      </c>
      <c r="B75" s="1282" t="s">
        <v>758</v>
      </c>
      <c r="C75" s="1296" t="s">
        <v>762</v>
      </c>
      <c r="D75" s="1297">
        <v>21546736</v>
      </c>
      <c r="E75" s="447"/>
      <c r="F75" s="326"/>
    </row>
    <row r="76" spans="1:6">
      <c r="A76" s="1282" t="s">
        <v>64</v>
      </c>
      <c r="B76" s="1282" t="s">
        <v>760</v>
      </c>
      <c r="C76" s="1296" t="s">
        <v>763</v>
      </c>
      <c r="D76" s="1297">
        <v>1099101.4770512667</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205615.0458974666</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2223.5685376261076</v>
      </c>
      <c r="C91" s="326"/>
      <c r="D91" s="326"/>
      <c r="E91" s="326"/>
      <c r="F91" s="326"/>
    </row>
    <row r="92" spans="1:6">
      <c r="A92" s="1277" t="s">
        <v>68</v>
      </c>
      <c r="B92" s="1278">
        <v>2578.0251311915872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3399</v>
      </c>
      <c r="C97" s="326"/>
      <c r="D97" s="326"/>
      <c r="E97" s="326"/>
      <c r="F97" s="326"/>
    </row>
    <row r="98" spans="1:6">
      <c r="A98" s="1282" t="s">
        <v>71</v>
      </c>
      <c r="B98" s="1283">
        <v>0</v>
      </c>
      <c r="C98" s="326"/>
      <c r="D98" s="326"/>
      <c r="E98" s="326"/>
      <c r="F98" s="326"/>
    </row>
    <row r="99" spans="1:6">
      <c r="A99" s="1282" t="s">
        <v>72</v>
      </c>
      <c r="B99" s="1283">
        <v>252</v>
      </c>
      <c r="C99" s="326"/>
      <c r="D99" s="326"/>
      <c r="E99" s="326"/>
      <c r="F99" s="326"/>
    </row>
    <row r="100" spans="1:6">
      <c r="A100" s="1282" t="s">
        <v>73</v>
      </c>
      <c r="B100" s="1283">
        <v>404</v>
      </c>
      <c r="C100" s="326"/>
      <c r="D100" s="326"/>
      <c r="E100" s="326"/>
      <c r="F100" s="326"/>
    </row>
    <row r="101" spans="1:6">
      <c r="A101" s="1282" t="s">
        <v>74</v>
      </c>
      <c r="B101" s="1283">
        <v>235</v>
      </c>
      <c r="C101" s="326"/>
      <c r="D101" s="326"/>
      <c r="E101" s="326"/>
      <c r="F101" s="326"/>
    </row>
    <row r="102" spans="1:6">
      <c r="A102" s="1282" t="s">
        <v>75</v>
      </c>
      <c r="B102" s="1283">
        <v>124</v>
      </c>
      <c r="C102" s="326"/>
      <c r="D102" s="326"/>
      <c r="E102" s="326"/>
      <c r="F102" s="326"/>
    </row>
    <row r="103" spans="1:6">
      <c r="A103" s="1282" t="s">
        <v>76</v>
      </c>
      <c r="B103" s="1283">
        <v>575</v>
      </c>
      <c r="C103" s="326"/>
      <c r="D103" s="326"/>
      <c r="E103" s="326"/>
      <c r="F103" s="326"/>
    </row>
    <row r="104" spans="1:6">
      <c r="A104" s="1282" t="s">
        <v>77</v>
      </c>
      <c r="B104" s="1283">
        <v>2396</v>
      </c>
      <c r="C104" s="326"/>
      <c r="D104" s="326"/>
      <c r="E104" s="326"/>
      <c r="F104" s="326"/>
    </row>
    <row r="105" spans="1:6">
      <c r="A105" s="1277" t="s">
        <v>78</v>
      </c>
      <c r="B105" s="128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0</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8</v>
      </c>
      <c r="C123" s="1283">
        <v>7</v>
      </c>
      <c r="D123" s="326"/>
      <c r="E123" s="326"/>
      <c r="F123" s="326"/>
    </row>
    <row r="124" spans="1:6" s="43" customFormat="1">
      <c r="A124" s="1284" t="s">
        <v>88</v>
      </c>
      <c r="B124" s="1305">
        <v>2</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64</v>
      </c>
      <c r="C129" s="326"/>
      <c r="D129" s="326"/>
      <c r="E129" s="326"/>
      <c r="F129" s="326"/>
    </row>
    <row r="130" spans="1:6">
      <c r="A130" s="1282" t="s">
        <v>290</v>
      </c>
      <c r="B130" s="1283">
        <v>0</v>
      </c>
      <c r="C130" s="326"/>
      <c r="D130" s="326"/>
      <c r="E130" s="326"/>
      <c r="F130" s="326"/>
    </row>
    <row r="131" spans="1:6">
      <c r="A131" s="1282" t="s">
        <v>291</v>
      </c>
      <c r="B131" s="1283">
        <v>3</v>
      </c>
      <c r="C131" s="326"/>
      <c r="D131" s="326"/>
      <c r="E131" s="326"/>
      <c r="F131" s="326"/>
    </row>
    <row r="132" spans="1:6">
      <c r="A132" s="1277" t="s">
        <v>292</v>
      </c>
      <c r="B132" s="1278">
        <v>6</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112087.58657109439</v>
      </c>
      <c r="C3" s="43" t="s">
        <v>169</v>
      </c>
      <c r="D3" s="43"/>
      <c r="E3" s="156"/>
      <c r="F3" s="43"/>
      <c r="G3" s="43"/>
      <c r="H3" s="43"/>
      <c r="I3" s="43"/>
      <c r="J3" s="43"/>
      <c r="K3" s="96"/>
    </row>
    <row r="4" spans="1:11">
      <c r="A4" s="354" t="s">
        <v>170</v>
      </c>
      <c r="B4" s="49">
        <f>IF(ISERROR('SEAP template'!B78+'SEAP template'!C78),0,'SEAP template'!B78+'SEAP template'!C78)</f>
        <v>4801.5936688176953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0.21153283032251169</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1489.52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1489.52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0.21153283032251169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315.08238142198763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28470.231348886402</v>
      </c>
      <c r="C5" s="17">
        <f>IF(ISERROR('Eigen informatie GS &amp; warmtenet'!B57),0,'Eigen informatie GS &amp; warmtenet'!B57)</f>
        <v>0</v>
      </c>
      <c r="D5" s="30">
        <f>(SUM(HH_hh_gas_kWh,HH_rest_gas_kWh)/1000)*0.902</f>
        <v>65163.199207907528</v>
      </c>
      <c r="E5" s="17">
        <f>B32*B41</f>
        <v>1709.2295299181815</v>
      </c>
      <c r="F5" s="17">
        <f>B36*B45</f>
        <v>58343.517016333448</v>
      </c>
      <c r="G5" s="18"/>
      <c r="H5" s="17"/>
      <c r="I5" s="17"/>
      <c r="J5" s="17">
        <f>B35*B44+C35*C44</f>
        <v>1313.7480856369275</v>
      </c>
      <c r="K5" s="17"/>
      <c r="L5" s="17"/>
      <c r="M5" s="17"/>
      <c r="N5" s="17">
        <f>B34*B43+C34*C43</f>
        <v>9791.641692574578</v>
      </c>
      <c r="O5" s="17">
        <f>B52*B53*B54</f>
        <v>110.99666666666667</v>
      </c>
      <c r="P5" s="17">
        <f>B60*B61*B62/1000-B60*B61*B62/1000/B63</f>
        <v>305.06666666666666</v>
      </c>
    </row>
    <row r="6" spans="1:16">
      <c r="A6" s="16" t="s">
        <v>621</v>
      </c>
      <c r="B6" s="768">
        <f>kWh_PV_kleiner_dan_10kW</f>
        <v>2223.5685376261076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30693.799886512508</v>
      </c>
      <c r="C8" s="21">
        <f>C5</f>
        <v>0</v>
      </c>
      <c r="D8" s="21">
        <f>D5</f>
        <v>65163.199207907528</v>
      </c>
      <c r="E8" s="21">
        <f>E5</f>
        <v>1709.2295299181815</v>
      </c>
      <c r="F8" s="21">
        <f>F5</f>
        <v>58343.517016333448</v>
      </c>
      <c r="G8" s="21"/>
      <c r="H8" s="21"/>
      <c r="I8" s="21"/>
      <c r="J8" s="21">
        <f>J5</f>
        <v>1313.7480856369275</v>
      </c>
      <c r="K8" s="21"/>
      <c r="L8" s="21">
        <f>L5</f>
        <v>0</v>
      </c>
      <c r="M8" s="21">
        <f>M5</f>
        <v>0</v>
      </c>
      <c r="N8" s="21">
        <f>N5</f>
        <v>9791.641692574578</v>
      </c>
      <c r="O8" s="21">
        <f>O5</f>
        <v>110.99666666666667</v>
      </c>
      <c r="P8" s="21">
        <f>P5</f>
        <v>305.06666666666666</v>
      </c>
    </row>
    <row r="9" spans="1:16">
      <c r="B9" s="19"/>
      <c r="C9" s="19"/>
      <c r="D9" s="256"/>
      <c r="E9" s="19"/>
      <c r="F9" s="19"/>
      <c r="G9" s="19"/>
      <c r="H9" s="19"/>
      <c r="I9" s="19"/>
      <c r="J9" s="19"/>
      <c r="K9" s="19"/>
      <c r="L9" s="19"/>
      <c r="M9" s="19"/>
      <c r="N9" s="19"/>
      <c r="O9" s="19"/>
      <c r="P9" s="19"/>
    </row>
    <row r="10" spans="1:16">
      <c r="A10" s="24" t="s">
        <v>213</v>
      </c>
      <c r="B10" s="25">
        <f ca="1">'EF ele_warmte'!B12</f>
        <v>0.21153283032251169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6492.7463633467787</v>
      </c>
      <c r="C12" s="23">
        <f ca="1">C10*C8</f>
        <v>0</v>
      </c>
      <c r="D12" s="23">
        <f>D8*D10</f>
        <v>13162.966239997322</v>
      </c>
      <c r="E12" s="23">
        <f>E10*E8</f>
        <v>387.9951032914272</v>
      </c>
      <c r="F12" s="23">
        <f>F10*F8</f>
        <v>15577.719043361032</v>
      </c>
      <c r="G12" s="23"/>
      <c r="H12" s="23"/>
      <c r="I12" s="23"/>
      <c r="J12" s="23">
        <f>J10*J8</f>
        <v>465.06682231547234</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8062</v>
      </c>
      <c r="C26" s="36"/>
      <c r="D26" s="226"/>
    </row>
    <row r="27" spans="1:5" s="15" customFormat="1">
      <c r="A27" s="228" t="s">
        <v>701</v>
      </c>
      <c r="B27" s="37">
        <f>SUM(HH_hh_gas_aantal,HH_rest_gas_aantal)</f>
        <v>4742</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4504.8999999999996</v>
      </c>
      <c r="C31" s="34" t="s">
        <v>110</v>
      </c>
      <c r="D31" s="172"/>
    </row>
    <row r="32" spans="1:5">
      <c r="A32" s="169" t="s">
        <v>72</v>
      </c>
      <c r="B32" s="33">
        <f>IF((B21*($B$26-($B$27-0.05*$B$27)-$B$60))&lt;0,0,B21*($B$26-($B$27-0.05*$B$27)-$B$60))</f>
        <v>25.104871551181692</v>
      </c>
      <c r="C32" s="34" t="s">
        <v>110</v>
      </c>
      <c r="D32" s="172"/>
    </row>
    <row r="33" spans="1:6">
      <c r="A33" s="169" t="s">
        <v>73</v>
      </c>
      <c r="B33" s="33">
        <f>IF((B22*($B$26-($B$27-0.05*$B$27)-$B$60))&lt;0,0,B22*($B$26-($B$27-0.05*$B$27)-$B$60))</f>
        <v>719.50220302808498</v>
      </c>
      <c r="C33" s="34" t="s">
        <v>110</v>
      </c>
      <c r="D33" s="172"/>
    </row>
    <row r="34" spans="1:6">
      <c r="A34" s="169" t="s">
        <v>74</v>
      </c>
      <c r="B34" s="33">
        <f>IF((B24*($B$26-($B$27-0.05*$B$27)-$B$60))&lt;0,0,B24*($B$26-($B$27-0.05*$B$27)-$B$60))</f>
        <v>143.47634321267782</v>
      </c>
      <c r="C34" s="33">
        <f>B26*C24</f>
        <v>1648.4985299532539</v>
      </c>
      <c r="D34" s="231"/>
    </row>
    <row r="35" spans="1:6">
      <c r="A35" s="169" t="s">
        <v>76</v>
      </c>
      <c r="B35" s="33">
        <f>IF((B19*($B$26-($B$27-0.05*$B$27)-$B$60))&lt;0,0,B19*($B$26-($B$27-0.05*$B$27)-$B$60))</f>
        <v>74.716879616612189</v>
      </c>
      <c r="C35" s="33">
        <f>B35/2</f>
        <v>37.358439808306095</v>
      </c>
      <c r="D35" s="231"/>
    </row>
    <row r="36" spans="1:6">
      <c r="A36" s="169" t="s">
        <v>77</v>
      </c>
      <c r="B36" s="33">
        <f>IF((B18*($B$26-($B$27-0.05*$B$27)-$B$60))&lt;0,0,B18*($B$26-($B$27-0.05*$B$27)-$B$60))</f>
        <v>2578.2997025914437</v>
      </c>
      <c r="C36" s="34" t="s">
        <v>110</v>
      </c>
      <c r="D36" s="172"/>
    </row>
    <row r="37" spans="1:6">
      <c r="A37" s="169" t="s">
        <v>78</v>
      </c>
      <c r="B37" s="33">
        <f>B60</f>
        <v>16</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71</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16</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20868.239250834795</v>
      </c>
      <c r="C5" s="17">
        <f>IF(ISERROR('Eigen informatie GS &amp; warmtenet'!B58),0,'Eigen informatie GS &amp; warmtenet'!B58)</f>
        <v>0</v>
      </c>
      <c r="D5" s="30">
        <f>SUM(D6:D12)</f>
        <v>25062.139391250294</v>
      </c>
      <c r="E5" s="17">
        <f>SUM(E6:E12)</f>
        <v>429.65649337653576</v>
      </c>
      <c r="F5" s="17">
        <f>SUM(F6:F12)</f>
        <v>4191.4390500265599</v>
      </c>
      <c r="G5" s="18"/>
      <c r="H5" s="17"/>
      <c r="I5" s="17"/>
      <c r="J5" s="17">
        <f>SUM(J6:J12)</f>
        <v>0</v>
      </c>
      <c r="K5" s="17"/>
      <c r="L5" s="17"/>
      <c r="M5" s="17"/>
      <c r="N5" s="17">
        <f>SUM(N6:N12)</f>
        <v>520.14778600902355</v>
      </c>
      <c r="O5" s="17">
        <f>B38*B39*B40</f>
        <v>0</v>
      </c>
      <c r="P5" s="17">
        <f>B46*B47*B48/1000-B46*B47*B48/1000/B49</f>
        <v>57.2</v>
      </c>
      <c r="R5" s="32"/>
    </row>
    <row r="6" spans="1:18">
      <c r="A6" s="32" t="s">
        <v>53</v>
      </c>
      <c r="B6" s="37">
        <f>B26</f>
        <v>3245.6585946353398</v>
      </c>
      <c r="C6" s="33"/>
      <c r="D6" s="37">
        <f>IF(ISERROR(TER_kantoor_gas_kWh/1000),0,TER_kantoor_gas_kWh/1000)*0.902</f>
        <v>4002.926433872497</v>
      </c>
      <c r="E6" s="33">
        <f>$C$26*'E Balans VL '!I12/100/3.6*1000000</f>
        <v>113.61081841081268</v>
      </c>
      <c r="F6" s="33">
        <f>$C$26*('E Balans VL '!L12+'E Balans VL '!N12)/100/3.6*1000000</f>
        <v>492.11152655390759</v>
      </c>
      <c r="G6" s="34"/>
      <c r="H6" s="33"/>
      <c r="I6" s="33"/>
      <c r="J6" s="33">
        <f>$C$26*('E Balans VL '!D12+'E Balans VL '!E12)/100/3.6*1000000</f>
        <v>0</v>
      </c>
      <c r="K6" s="33"/>
      <c r="L6" s="33"/>
      <c r="M6" s="33"/>
      <c r="N6" s="33">
        <f>$C$26*'E Balans VL '!Y12/100/3.6*1000000</f>
        <v>25.087925073348867</v>
      </c>
      <c r="O6" s="33"/>
      <c r="P6" s="33"/>
      <c r="R6" s="32"/>
    </row>
    <row r="7" spans="1:18">
      <c r="A7" s="32" t="s">
        <v>52</v>
      </c>
      <c r="B7" s="37">
        <f t="shared" ref="B7:B12" si="0">B27</f>
        <v>3047.0754913270598</v>
      </c>
      <c r="C7" s="33"/>
      <c r="D7" s="37">
        <f>IF(ISERROR(TER_horeca_gas_kWh/1000),0,TER_horeca_gas_kWh/1000)*0.902</f>
        <v>2857.3442929945145</v>
      </c>
      <c r="E7" s="33">
        <f>$C$27*'E Balans VL '!I9/100/3.6*1000000</f>
        <v>171.89557394750528</v>
      </c>
      <c r="F7" s="33">
        <f>$C$27*('E Balans VL '!L9+'E Balans VL '!N9)/100/3.6*1000000</f>
        <v>530.81741332145009</v>
      </c>
      <c r="G7" s="34"/>
      <c r="H7" s="33"/>
      <c r="I7" s="33"/>
      <c r="J7" s="33">
        <f>$C$27*('E Balans VL '!D9+'E Balans VL '!E9)/100/3.6*1000000</f>
        <v>0</v>
      </c>
      <c r="K7" s="33"/>
      <c r="L7" s="33"/>
      <c r="M7" s="33"/>
      <c r="N7" s="33">
        <f>$C$27*'E Balans VL '!Y9/100/3.6*1000000</f>
        <v>0</v>
      </c>
      <c r="O7" s="33"/>
      <c r="P7" s="33"/>
      <c r="R7" s="32"/>
    </row>
    <row r="8" spans="1:18">
      <c r="A8" s="6" t="s">
        <v>51</v>
      </c>
      <c r="B8" s="37">
        <f t="shared" si="0"/>
        <v>6156.3081610797908</v>
      </c>
      <c r="C8" s="33"/>
      <c r="D8" s="37">
        <f>IF(ISERROR(TER_handel_gas_kWh/1000),0,TER_handel_gas_kWh/1000)*0.902</f>
        <v>4213.6348708611167</v>
      </c>
      <c r="E8" s="33">
        <f>$C$28*'E Balans VL '!I13/100/3.6*1000000</f>
        <v>31.60586062714593</v>
      </c>
      <c r="F8" s="33">
        <f>$C$28*('E Balans VL '!L13+'E Balans VL '!N13)/100/3.6*1000000</f>
        <v>949.20759371243571</v>
      </c>
      <c r="G8" s="34"/>
      <c r="H8" s="33"/>
      <c r="I8" s="33"/>
      <c r="J8" s="33">
        <f>$C$28*('E Balans VL '!D13+'E Balans VL '!E13)/100/3.6*1000000</f>
        <v>0</v>
      </c>
      <c r="K8" s="33"/>
      <c r="L8" s="33"/>
      <c r="M8" s="33"/>
      <c r="N8" s="33">
        <f>$C$28*'E Balans VL '!Y13/100/3.6*1000000</f>
        <v>2.8793804747933076</v>
      </c>
      <c r="O8" s="33"/>
      <c r="P8" s="33"/>
      <c r="R8" s="32"/>
    </row>
    <row r="9" spans="1:18">
      <c r="A9" s="32" t="s">
        <v>50</v>
      </c>
      <c r="B9" s="37">
        <f t="shared" si="0"/>
        <v>1425.9340812079799</v>
      </c>
      <c r="C9" s="33"/>
      <c r="D9" s="37">
        <f>IF(ISERROR(TER_gezond_gas_kWh/1000),0,TER_gezond_gas_kWh/1000)*0.902</f>
        <v>996.33107402088194</v>
      </c>
      <c r="E9" s="33">
        <f>$C$29*'E Balans VL '!I10/100/3.6*1000000</f>
        <v>0.59103952152213945</v>
      </c>
      <c r="F9" s="33">
        <f>$C$29*('E Balans VL '!L10+'E Balans VL '!N10)/100/3.6*1000000</f>
        <v>351.18711357884075</v>
      </c>
      <c r="G9" s="34"/>
      <c r="H9" s="33"/>
      <c r="I9" s="33"/>
      <c r="J9" s="33">
        <f>$C$29*('E Balans VL '!D10+'E Balans VL '!E10)/100/3.6*1000000</f>
        <v>0</v>
      </c>
      <c r="K9" s="33"/>
      <c r="L9" s="33"/>
      <c r="M9" s="33"/>
      <c r="N9" s="33">
        <f>$C$29*'E Balans VL '!Y10/100/3.6*1000000</f>
        <v>12.323599826897738</v>
      </c>
      <c r="O9" s="33"/>
      <c r="P9" s="33"/>
      <c r="R9" s="32"/>
    </row>
    <row r="10" spans="1:18">
      <c r="A10" s="32" t="s">
        <v>49</v>
      </c>
      <c r="B10" s="37">
        <f t="shared" si="0"/>
        <v>1485.39252656964</v>
      </c>
      <c r="C10" s="33"/>
      <c r="D10" s="37">
        <f>IF(ISERROR(TER_ander_gas_kWh/1000),0,TER_ander_gas_kWh/1000)*0.902</f>
        <v>1132.009098870069</v>
      </c>
      <c r="E10" s="33">
        <f>$C$30*'E Balans VL '!I14/100/3.6*1000000</f>
        <v>9.0549894906089303</v>
      </c>
      <c r="F10" s="33">
        <f>$C$30*('E Balans VL '!L14+'E Balans VL '!N14)/100/3.6*1000000</f>
        <v>393.79790636310048</v>
      </c>
      <c r="G10" s="34"/>
      <c r="H10" s="33"/>
      <c r="I10" s="33"/>
      <c r="J10" s="33">
        <f>$C$30*('E Balans VL '!D14+'E Balans VL '!E14)/100/3.6*1000000</f>
        <v>0</v>
      </c>
      <c r="K10" s="33"/>
      <c r="L10" s="33"/>
      <c r="M10" s="33"/>
      <c r="N10" s="33">
        <f>$C$30*'E Balans VL '!Y14/100/3.6*1000000</f>
        <v>342.35088040427524</v>
      </c>
      <c r="O10" s="33"/>
      <c r="P10" s="33"/>
      <c r="R10" s="32"/>
    </row>
    <row r="11" spans="1:18">
      <c r="A11" s="32" t="s">
        <v>54</v>
      </c>
      <c r="B11" s="37">
        <f t="shared" si="0"/>
        <v>736.25233168143495</v>
      </c>
      <c r="C11" s="33"/>
      <c r="D11" s="37">
        <f>IF(ISERROR(TER_onderwijs_gas_kWh/1000),0,TER_onderwijs_gas_kWh/1000)*0.902</f>
        <v>2368.6791604120922</v>
      </c>
      <c r="E11" s="33">
        <f>$C$31*'E Balans VL '!I11/100/3.6*1000000</f>
        <v>0.56106261380516964</v>
      </c>
      <c r="F11" s="33">
        <f>$C$31*('E Balans VL '!L11+'E Balans VL '!N11)/100/3.6*1000000</f>
        <v>532.79253551126783</v>
      </c>
      <c r="G11" s="34"/>
      <c r="H11" s="33"/>
      <c r="I11" s="33"/>
      <c r="J11" s="33">
        <f>$C$31*('E Balans VL '!D11+'E Balans VL '!E11)/100/3.6*1000000</f>
        <v>0</v>
      </c>
      <c r="K11" s="33"/>
      <c r="L11" s="33"/>
      <c r="M11" s="33"/>
      <c r="N11" s="33">
        <f>$C$31*'E Balans VL '!Y11/100/3.6*1000000</f>
        <v>2.1699115825661037</v>
      </c>
      <c r="O11" s="33"/>
      <c r="P11" s="33"/>
      <c r="R11" s="32"/>
    </row>
    <row r="12" spans="1:18">
      <c r="A12" s="32" t="s">
        <v>255</v>
      </c>
      <c r="B12" s="37">
        <f t="shared" si="0"/>
        <v>4771.6180643335501</v>
      </c>
      <c r="C12" s="33"/>
      <c r="D12" s="37">
        <f>IF(ISERROR(TER_rest_gas_kWh/1000),0,TER_rest_gas_kWh/1000)*0.902</f>
        <v>9491.2144602191238</v>
      </c>
      <c r="E12" s="33">
        <f>$C$32*'E Balans VL '!I8/100/3.6*1000000</f>
        <v>102.33714876513562</v>
      </c>
      <c r="F12" s="33">
        <f>$C$32*('E Balans VL '!L8+'E Balans VL '!N8)/100/3.6*1000000</f>
        <v>941.52496098555707</v>
      </c>
      <c r="G12" s="34"/>
      <c r="H12" s="33"/>
      <c r="I12" s="33"/>
      <c r="J12" s="33">
        <f>$C$32*('E Balans VL '!D8+'E Balans VL '!E8)/100/3.6*1000000</f>
        <v>0</v>
      </c>
      <c r="K12" s="33"/>
      <c r="L12" s="33"/>
      <c r="M12" s="33"/>
      <c r="N12" s="33">
        <f>$C$32*'E Balans VL '!Y8/100/3.6*1000000</f>
        <v>135.33608864714222</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20868.239250834795</v>
      </c>
      <c r="C16" s="21">
        <f ca="1">C5+C13+C14</f>
        <v>0</v>
      </c>
      <c r="D16" s="21">
        <f t="shared" ref="D16:N16" ca="1" si="1">MAX((D5+D13+D14),0)</f>
        <v>25062.139391250294</v>
      </c>
      <c r="E16" s="21">
        <f t="shared" si="1"/>
        <v>429.65649337653576</v>
      </c>
      <c r="F16" s="21">
        <f t="shared" ca="1" si="1"/>
        <v>4191.4390500265599</v>
      </c>
      <c r="G16" s="21">
        <f t="shared" si="1"/>
        <v>0</v>
      </c>
      <c r="H16" s="21">
        <f t="shared" si="1"/>
        <v>0</v>
      </c>
      <c r="I16" s="21">
        <f t="shared" si="1"/>
        <v>0</v>
      </c>
      <c r="J16" s="21">
        <f t="shared" si="1"/>
        <v>0</v>
      </c>
      <c r="K16" s="21">
        <f t="shared" si="1"/>
        <v>0</v>
      </c>
      <c r="L16" s="21">
        <f t="shared" ca="1" si="1"/>
        <v>0</v>
      </c>
      <c r="M16" s="21">
        <f t="shared" si="1"/>
        <v>0</v>
      </c>
      <c r="N16" s="21">
        <f t="shared" ca="1" si="1"/>
        <v>520.14778600902355</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0.21153283032251169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4414.317712576415</v>
      </c>
      <c r="C20" s="23">
        <f t="shared" ref="C20:P20" ca="1" si="2">C16*C18</f>
        <v>0</v>
      </c>
      <c r="D20" s="23">
        <f t="shared" ca="1" si="2"/>
        <v>5062.55215703256</v>
      </c>
      <c r="E20" s="23">
        <f t="shared" si="2"/>
        <v>97.532023996473626</v>
      </c>
      <c r="F20" s="23">
        <f t="shared" ca="1" si="2"/>
        <v>1119.1142263570916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3245.6585946353398</v>
      </c>
      <c r="C26" s="39">
        <f>IF(ISERROR(B26*3.6/1000000/'E Balans VL '!Z12*100),0,B26*3.6/1000000/'E Balans VL '!Z12*100)</f>
        <v>6.8299502604476772E-2</v>
      </c>
      <c r="D26" s="234" t="s">
        <v>706</v>
      </c>
      <c r="F26" s="6"/>
    </row>
    <row r="27" spans="1:18">
      <c r="A27" s="229" t="s">
        <v>52</v>
      </c>
      <c r="B27" s="33">
        <f>IF(ISERROR(TER_horeca_ele_kWh/1000),0,TER_horeca_ele_kWh/1000)</f>
        <v>3047.0754913270598</v>
      </c>
      <c r="C27" s="39">
        <f>IF(ISERROR(B27*3.6/1000000/'E Balans VL '!Z9*100),0,B27*3.6/1000000/'E Balans VL '!Z9*100)</f>
        <v>0.2579873196478229</v>
      </c>
      <c r="D27" s="234" t="s">
        <v>706</v>
      </c>
      <c r="F27" s="6"/>
    </row>
    <row r="28" spans="1:18">
      <c r="A28" s="169" t="s">
        <v>51</v>
      </c>
      <c r="B28" s="33">
        <f>IF(ISERROR(TER_handel_ele_kWh/1000),0,TER_handel_ele_kWh/1000)</f>
        <v>6156.3081610797908</v>
      </c>
      <c r="C28" s="39">
        <f>IF(ISERROR(B28*3.6/1000000/'E Balans VL '!Z13*100),0,B28*3.6/1000000/'E Balans VL '!Z13*100)</f>
        <v>0.17043654015107643</v>
      </c>
      <c r="D28" s="234" t="s">
        <v>706</v>
      </c>
      <c r="F28" s="6"/>
    </row>
    <row r="29" spans="1:18">
      <c r="A29" s="229" t="s">
        <v>50</v>
      </c>
      <c r="B29" s="33">
        <f>IF(ISERROR(TER_gezond_ele_kWh/1000),0,TER_gezond_ele_kWh/1000)</f>
        <v>1425.9340812079799</v>
      </c>
      <c r="C29" s="39">
        <f>IF(ISERROR(B29*3.6/1000000/'E Balans VL '!Z10*100),0,B29*3.6/1000000/'E Balans VL '!Z10*100)</f>
        <v>0.18535562223465935</v>
      </c>
      <c r="D29" s="234" t="s">
        <v>706</v>
      </c>
      <c r="F29" s="6"/>
    </row>
    <row r="30" spans="1:18">
      <c r="A30" s="229" t="s">
        <v>49</v>
      </c>
      <c r="B30" s="33">
        <f>IF(ISERROR(TER_ander_ele_kWh/1000),0,TER_ander_ele_kWh/1000)</f>
        <v>1485.39252656964</v>
      </c>
      <c r="C30" s="39">
        <f>IF(ISERROR(B30*3.6/1000000/'E Balans VL '!Z14*100),0,B30*3.6/1000000/'E Balans VL '!Z14*100)</f>
        <v>0.11513154289922109</v>
      </c>
      <c r="D30" s="234" t="s">
        <v>706</v>
      </c>
      <c r="F30" s="6"/>
    </row>
    <row r="31" spans="1:18">
      <c r="A31" s="229" t="s">
        <v>54</v>
      </c>
      <c r="B31" s="33">
        <f>IF(ISERROR(TER_onderwijs_ele_kWh/1000),0,TER_onderwijs_ele_kWh/1000)</f>
        <v>736.25233168143495</v>
      </c>
      <c r="C31" s="39">
        <f>IF(ISERROR(B31*3.6/1000000/'E Balans VL '!Z11*100),0,B31*3.6/1000000/'E Balans VL '!Z11*100)</f>
        <v>0.14085761652490122</v>
      </c>
      <c r="D31" s="234" t="s">
        <v>706</v>
      </c>
    </row>
    <row r="32" spans="1:18">
      <c r="A32" s="229" t="s">
        <v>255</v>
      </c>
      <c r="B32" s="33">
        <f>IF(ISERROR(TER_rest_ele_kWh/1000),0,TER_rest_ele_kWh/1000)</f>
        <v>4771.6180643335501</v>
      </c>
      <c r="C32" s="39">
        <f>IF(ISERROR(B32*3.6/1000000/'E Balans VL '!Z8*100),0,B32*3.6/1000000/'E Balans VL '!Z8*100)</f>
        <v>3.9345655140203571E-2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3</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46881.328907386087</v>
      </c>
      <c r="C5" s="17">
        <f>IF(ISERROR('Eigen informatie GS &amp; warmtenet'!B59),0,'Eigen informatie GS &amp; warmtenet'!B59)</f>
        <v>0</v>
      </c>
      <c r="D5" s="30">
        <f>SUM(D6:D15)</f>
        <v>62943.547476098182</v>
      </c>
      <c r="E5" s="17">
        <f>SUM(E6:E15)</f>
        <v>487.73983956534391</v>
      </c>
      <c r="F5" s="17">
        <f>SUM(F6:F15)</f>
        <v>13918.513997719312</v>
      </c>
      <c r="G5" s="18"/>
      <c r="H5" s="17"/>
      <c r="I5" s="17"/>
      <c r="J5" s="17">
        <f>SUM(J6:J15)</f>
        <v>266.14641725703871</v>
      </c>
      <c r="K5" s="17"/>
      <c r="L5" s="17"/>
      <c r="M5" s="17"/>
      <c r="N5" s="17">
        <f>SUM(N6:N15)</f>
        <v>1276.5705403530758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493.71583235873601</v>
      </c>
      <c r="C8" s="33"/>
      <c r="D8" s="37">
        <f>IF( ISERROR(IND_metaal_Gas_kWH/1000),0,IND_metaal_Gas_kWH/1000)*0.902</f>
        <v>0</v>
      </c>
      <c r="E8" s="33">
        <f>C30*'E Balans VL '!I18/100/3.6*1000000</f>
        <v>3.4692322205276778</v>
      </c>
      <c r="F8" s="33">
        <f>C30*'E Balans VL '!L18/100/3.6*1000000+C30*'E Balans VL '!N18/100/3.6*1000000</f>
        <v>54.207109871056929</v>
      </c>
      <c r="G8" s="34"/>
      <c r="H8" s="33"/>
      <c r="I8" s="33"/>
      <c r="J8" s="40">
        <f>C30*'E Balans VL '!D18/100/3.6*1000000+C30*'E Balans VL '!E18/100/3.6*1000000</f>
        <v>10.186421772603696</v>
      </c>
      <c r="K8" s="33"/>
      <c r="L8" s="33"/>
      <c r="M8" s="33"/>
      <c r="N8" s="33">
        <f>C30*'E Balans VL '!Y18/100/3.6*1000000</f>
        <v>1.8504824970566494</v>
      </c>
      <c r="O8" s="33"/>
      <c r="P8" s="33"/>
      <c r="R8" s="32"/>
    </row>
    <row r="9" spans="1:18">
      <c r="A9" s="6" t="s">
        <v>32</v>
      </c>
      <c r="B9" s="37">
        <f t="shared" si="0"/>
        <v>7952.1756830816603</v>
      </c>
      <c r="C9" s="33"/>
      <c r="D9" s="37">
        <f>IF( ISERROR(IND_andere_gas_kWh/1000),0,IND_andere_gas_kWh/1000)*0.902</f>
        <v>4497.7505530170274</v>
      </c>
      <c r="E9" s="33">
        <f>C31*'E Balans VL '!I19/100/3.6*1000000</f>
        <v>133.56653232360429</v>
      </c>
      <c r="F9" s="33">
        <f>C31*'E Balans VL '!L19/100/3.6*1000000+C31*'E Balans VL '!N19/100/3.6*1000000</f>
        <v>6216.5580269249303</v>
      </c>
      <c r="G9" s="34"/>
      <c r="H9" s="33"/>
      <c r="I9" s="33"/>
      <c r="J9" s="40">
        <f>C31*'E Balans VL '!D19/100/3.6*1000000+C31*'E Balans VL '!E19/100/3.6*1000000</f>
        <v>0.71721604969830977</v>
      </c>
      <c r="K9" s="33"/>
      <c r="L9" s="33"/>
      <c r="M9" s="33"/>
      <c r="N9" s="33">
        <f>C31*'E Balans VL '!Y19/100/3.6*1000000</f>
        <v>589.38379954326592</v>
      </c>
      <c r="O9" s="33"/>
      <c r="P9" s="33"/>
      <c r="R9" s="32"/>
    </row>
    <row r="10" spans="1:18">
      <c r="A10" s="6" t="s">
        <v>40</v>
      </c>
      <c r="B10" s="37">
        <f t="shared" si="0"/>
        <v>940.76821357679898</v>
      </c>
      <c r="C10" s="33"/>
      <c r="D10" s="37">
        <f>IF( ISERROR(IND_voed_gas_kWh/1000),0,IND_voed_gas_kWh/1000)*0.902</f>
        <v>662.105679387034</v>
      </c>
      <c r="E10" s="33">
        <f>C32*'E Balans VL '!I20/100/3.6*1000000</f>
        <v>8.5831782444623581</v>
      </c>
      <c r="F10" s="33">
        <f>C32*'E Balans VL '!L20/100/3.6*1000000+C32*'E Balans VL '!N20/100/3.6*1000000</f>
        <v>151.77533835761773</v>
      </c>
      <c r="G10" s="34"/>
      <c r="H10" s="33"/>
      <c r="I10" s="33"/>
      <c r="J10" s="40">
        <f>C32*'E Balans VL '!D20/100/3.6*1000000+C32*'E Balans VL '!E20/100/3.6*1000000</f>
        <v>3.8747003010062109</v>
      </c>
      <c r="K10" s="33"/>
      <c r="L10" s="33"/>
      <c r="M10" s="33"/>
      <c r="N10" s="33">
        <f>C32*'E Balans VL '!Y20/100/3.6*1000000</f>
        <v>13.762697148072291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16.0687152237068</v>
      </c>
      <c r="C12" s="33"/>
      <c r="D12" s="37">
        <f>IF( ISERROR(IND_min_gas_kWh/1000),0,IND_min_gas_kWh/1000)*0.902</f>
        <v>0</v>
      </c>
      <c r="E12" s="33">
        <f>C34*'E Balans VL '!I22/100/3.6*1000000</f>
        <v>0.39855637771749647</v>
      </c>
      <c r="F12" s="33">
        <f>C34*'E Balans VL '!L22/100/3.6*1000000+C34*'E Balans VL '!N22/100/3.6*1000000</f>
        <v>1.7074548504070226</v>
      </c>
      <c r="G12" s="34"/>
      <c r="H12" s="33"/>
      <c r="I12" s="33"/>
      <c r="J12" s="40">
        <f>C34*'E Balans VL '!D22/100/3.6*1000000+C34*'E Balans VL '!E22/100/3.6*1000000</f>
        <v>9.1279730985384958E-2</v>
      </c>
      <c r="K12" s="33"/>
      <c r="L12" s="33"/>
      <c r="M12" s="33"/>
      <c r="N12" s="33">
        <f>C34*'E Balans VL '!Y22/100/3.6*1000000</f>
        <v>0</v>
      </c>
      <c r="O12" s="33"/>
      <c r="P12" s="33"/>
      <c r="R12" s="32"/>
    </row>
    <row r="13" spans="1:18">
      <c r="A13" s="6" t="s">
        <v>38</v>
      </c>
      <c r="B13" s="37">
        <f t="shared" si="0"/>
        <v>160.36861002767901</v>
      </c>
      <c r="C13" s="33"/>
      <c r="D13" s="37">
        <f>IF( ISERROR(IND_papier_gas_kWh/1000),0,IND_papier_gas_kWh/1000)*0.902</f>
        <v>86.213569549387458</v>
      </c>
      <c r="E13" s="33">
        <f>C35*'E Balans VL '!I23/100/3.6*1000000</f>
        <v>4.9341236057543778</v>
      </c>
      <c r="F13" s="33">
        <f>C35*'E Balans VL '!L23/100/3.6*1000000+C35*'E Balans VL '!N23/100/3.6*1000000</f>
        <v>34.051860460666425</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37318.231853117504</v>
      </c>
      <c r="C15" s="33"/>
      <c r="D15" s="37">
        <f>IF( ISERROR(IND_rest_gas_kWh/1000),0,IND_rest_gas_kWh/1000)*0.902</f>
        <v>57697.477674144735</v>
      </c>
      <c r="E15" s="33">
        <f>C37*'E Balans VL '!I15/100/3.6*1000000</f>
        <v>336.78821679327774</v>
      </c>
      <c r="F15" s="33">
        <f>C37*'E Balans VL '!L15/100/3.6*1000000+C37*'E Balans VL '!N15/100/3.6*1000000</f>
        <v>7460.2142072546339</v>
      </c>
      <c r="G15" s="34"/>
      <c r="H15" s="33"/>
      <c r="I15" s="33"/>
      <c r="J15" s="40">
        <f>C37*'E Balans VL '!D15/100/3.6*1000000+C37*'E Balans VL '!E15/100/3.6*1000000</f>
        <v>251.2767994027451</v>
      </c>
      <c r="K15" s="33"/>
      <c r="L15" s="33"/>
      <c r="M15" s="33"/>
      <c r="N15" s="33">
        <f>C37*'E Balans VL '!Y15/100/3.6*1000000</f>
        <v>671.57356116468088</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46881.328907386087</v>
      </c>
      <c r="C18" s="21">
        <f>C5+C16</f>
        <v>0</v>
      </c>
      <c r="D18" s="21">
        <f>MAX((D5+D16),0)</f>
        <v>62943.547476098182</v>
      </c>
      <c r="E18" s="21">
        <f>MAX((E5+E16),0)</f>
        <v>487.73983956534391</v>
      </c>
      <c r="F18" s="21">
        <f>MAX((F5+F16),0)</f>
        <v>13918.513997719312</v>
      </c>
      <c r="G18" s="21"/>
      <c r="H18" s="21"/>
      <c r="I18" s="21"/>
      <c r="J18" s="21">
        <f>MAX((J5+J16),0)</f>
        <v>266.14641725703871</v>
      </c>
      <c r="K18" s="21"/>
      <c r="L18" s="21">
        <f>MAX((L5+L16),0)</f>
        <v>0</v>
      </c>
      <c r="M18" s="21"/>
      <c r="N18" s="21">
        <f>MAX((N5+N16),0)</f>
        <v>1276.5705403530758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0.21153283032251169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9916.9401930599633</v>
      </c>
      <c r="C22" s="23">
        <f ca="1">C18*C20</f>
        <v>0</v>
      </c>
      <c r="D22" s="23">
        <f>D18*D20</f>
        <v>12714.596590171834</v>
      </c>
      <c r="E22" s="23">
        <f>E18*E20</f>
        <v>110.71694358133307</v>
      </c>
      <c r="F22" s="23">
        <f>F18*F20</f>
        <v>3716.2432373910565</v>
      </c>
      <c r="G22" s="23"/>
      <c r="H22" s="23"/>
      <c r="I22" s="23"/>
      <c r="J22" s="23">
        <f>J18*J20</f>
        <v>94.215831708991701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493.71583235873601</v>
      </c>
      <c r="C30" s="39">
        <f>IF(ISERROR(B30*3.6/1000000/'E Balans VL '!Z18*100),0,B30*3.6/1000000/'E Balans VL '!Z18*100)</f>
        <v>3.2866964448272466E-2</v>
      </c>
      <c r="D30" s="234" t="s">
        <v>706</v>
      </c>
    </row>
    <row r="31" spans="1:18">
      <c r="A31" s="6" t="s">
        <v>32</v>
      </c>
      <c r="B31" s="37">
        <f>IF( ISERROR(IND_ander_ele_kWh/1000),0,IND_ander_ele_kWh/1000)</f>
        <v>7952.1756830816603</v>
      </c>
      <c r="C31" s="39">
        <f>IF(ISERROR(B31*3.6/1000000/'E Balans VL '!Z19*100),0,B31*3.6/1000000/'E Balans VL '!Z19*100)</f>
        <v>0.35248843398142188</v>
      </c>
      <c r="D31" s="234" t="s">
        <v>706</v>
      </c>
    </row>
    <row r="32" spans="1:18">
      <c r="A32" s="169" t="s">
        <v>40</v>
      </c>
      <c r="B32" s="37">
        <f>IF( ISERROR(IND_voed_ele_kWh/1000),0,IND_voed_ele_kWh/1000)</f>
        <v>940.76821357679898</v>
      </c>
      <c r="C32" s="39">
        <f>IF(ISERROR(B32*3.6/1000000/'E Balans VL '!Z20*100),0,B32*3.6/1000000/'E Balans VL '!Z20*100)</f>
        <v>3.1424357048187891E-2</v>
      </c>
      <c r="D32" s="234" t="s">
        <v>706</v>
      </c>
    </row>
    <row r="33" spans="1:5">
      <c r="A33" s="169" t="s">
        <v>39</v>
      </c>
      <c r="B33" s="37">
        <f>IF( ISERROR(IND_textiel_ele_kWh/1000),0,IND_textiel_ele_kWh/1000)</f>
        <v>0</v>
      </c>
      <c r="C33" s="39">
        <f>IF(ISERROR(B33*3.6/1000000/'E Balans VL '!Z21*100),0,B33*3.6/1000000/'E Balans VL '!Z21*100)</f>
        <v>0</v>
      </c>
      <c r="D33" s="234" t="s">
        <v>706</v>
      </c>
    </row>
    <row r="34" spans="1:5">
      <c r="A34" s="169" t="s">
        <v>36</v>
      </c>
      <c r="B34" s="37">
        <f>IF( ISERROR(IND_min_ele_kWh/1000),0,IND_min_ele_kWh/1000)</f>
        <v>16.0687152237068</v>
      </c>
      <c r="C34" s="39">
        <f>IF(ISERROR(B34*3.6/1000000/'E Balans VL '!Z22*100),0,B34*3.6/1000000/'E Balans VL '!Z22*100)</f>
        <v>3.12518860620738E-3</v>
      </c>
      <c r="D34" s="234" t="s">
        <v>706</v>
      </c>
    </row>
    <row r="35" spans="1:5">
      <c r="A35" s="169" t="s">
        <v>38</v>
      </c>
      <c r="B35" s="37">
        <f>IF( ISERROR(IND_papier_ele_kWh/1000),0,IND_papier_ele_kWh/1000)</f>
        <v>160.36861002767901</v>
      </c>
      <c r="C35" s="39">
        <f>IF(ISERROR(B35*3.6/1000000/'E Balans VL '!Z22*100),0,B35*3.6/1000000/'E Balans VL '!Z22*100)</f>
        <v>3.1189933101334919E-2</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37318.231853117504</v>
      </c>
      <c r="C37" s="39">
        <f>IF(ISERROR(B37*3.6/1000000/'E Balans VL '!Z15*100),0,B37*3.6/1000000/'E Balans VL '!Z15*100)</f>
        <v>0.27758684838701031</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9761.5950895809528</v>
      </c>
      <c r="C5" s="17">
        <f>'Eigen informatie GS &amp; warmtenet'!B60</f>
        <v>0</v>
      </c>
      <c r="D5" s="30">
        <f>IF(ISERROR(SUM(LB_lb_gas_kWh,LB_rest_gas_kWh)/1000),0,SUM(LB_lb_gas_kWh,LB_rest_gas_kWh)/1000)*0.902</f>
        <v>359.21282807458761</v>
      </c>
      <c r="E5" s="17">
        <f>B17*'E Balans VL '!I25/3.6*1000000/100</f>
        <v>102.22553707724879</v>
      </c>
      <c r="F5" s="17">
        <f>B17*('E Balans VL '!L25/3.6*1000000+'E Balans VL '!N25/3.6*1000000)/100</f>
        <v>41787.044220406933</v>
      </c>
      <c r="G5" s="18"/>
      <c r="H5" s="17"/>
      <c r="I5" s="17"/>
      <c r="J5" s="17">
        <f>('E Balans VL '!D25+'E Balans VL '!E25)/3.6*1000000*landbouw!B17/100</f>
        <v>871.79793616899633</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9761.5950895809528</v>
      </c>
      <c r="C8" s="21">
        <f>C5+C6</f>
        <v>0</v>
      </c>
      <c r="D8" s="21">
        <f>MAX((D5+D6),0)</f>
        <v>359.21282807458761</v>
      </c>
      <c r="E8" s="21">
        <f>MAX((E5+E6),0)</f>
        <v>102.22553707724879</v>
      </c>
      <c r="F8" s="21">
        <f>MAX((F5+F6),0)</f>
        <v>41787.044220406933</v>
      </c>
      <c r="G8" s="21"/>
      <c r="H8" s="21"/>
      <c r="I8" s="21"/>
      <c r="J8" s="21">
        <f>MAX((J5+J6),0)</f>
        <v>871.79793616899633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0.21153283032251169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2064.8978377613912</v>
      </c>
      <c r="C12" s="23">
        <f ca="1">C8*C10</f>
        <v>0</v>
      </c>
      <c r="D12" s="23">
        <f>D8*D10</f>
        <v>72.560991271066698</v>
      </c>
      <c r="E12" s="23">
        <f>E8*E10</f>
        <v>23.205196916535474</v>
      </c>
      <c r="F12" s="23">
        <f>F8*F10</f>
        <v>11157.140806848653</v>
      </c>
      <c r="G12" s="23"/>
      <c r="H12" s="23"/>
      <c r="I12" s="23"/>
      <c r="J12" s="23">
        <f>J8*J10</f>
        <v>308.61646940382468</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1.5024979178939739</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1071.3845890993373</v>
      </c>
      <c r="C26" s="244">
        <f>B26*'GWP N2O_CH4'!B5</f>
        <v>22499.076371086085</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771.70637595026858</v>
      </c>
      <c r="C27" s="244">
        <f>B27*'GWP N2O_CH4'!B5</f>
        <v>16205.83389495564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17.911797912003699</v>
      </c>
      <c r="C28" s="244">
        <f>B28*'GWP N2O_CH4'!B4</f>
        <v>5552.6573527211467</v>
      </c>
      <c r="D28" s="50"/>
    </row>
    <row r="29" spans="1:4">
      <c r="A29" s="41" t="s">
        <v>272</v>
      </c>
      <c r="B29" s="244">
        <f>B34*'ha_N2O bodem landbouw'!B4</f>
        <v>86.578731146178413</v>
      </c>
      <c r="C29" s="244">
        <f>B29*'GWP N2O_CH4'!B4</f>
        <v>26839.40665531531</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1.4308272420704544E-2</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3.0836027672077238E-6</v>
      </c>
      <c r="C5" s="435" t="s">
        <v>210</v>
      </c>
      <c r="D5" s="420">
        <f>SUM(D6:D11)</f>
        <v>1.0957544538426934E-5</v>
      </c>
      <c r="E5" s="420">
        <f>SUM(E6:E11)</f>
        <v>1.1160301409088717E-3</v>
      </c>
      <c r="F5" s="433" t="s">
        <v>210</v>
      </c>
      <c r="G5" s="420">
        <f>SUM(G6:G11)</f>
        <v>0.23771922793576342</v>
      </c>
      <c r="H5" s="420">
        <f>SUM(H6:H11)</f>
        <v>3.569192664357184E-2</v>
      </c>
      <c r="I5" s="435" t="s">
        <v>210</v>
      </c>
      <c r="J5" s="435" t="s">
        <v>210</v>
      </c>
      <c r="K5" s="435" t="s">
        <v>210</v>
      </c>
      <c r="L5" s="435" t="s">
        <v>210</v>
      </c>
      <c r="M5" s="420">
        <f>SUM(M6:M11)</f>
        <v>1.1883471620568194E-2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2.0692099896514854E-6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6.551576067593531E-6</v>
      </c>
      <c r="E6" s="423">
        <f>vkm_GW_PW*SUMIFS(TableVerdeelsleutelVkm[LPG],TableVerdeelsleutelVkm[Voertuigtype],"Lichte voertuigen")*SUMIFS(TableECFTransport[EnergieConsumptieFactor (PJ per km)],TableECFTransport[Index],CONCATENATE($A6,"_LPG_LPG"))</f>
        <v>6.827311963177714E-4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9.0939965549266991E-2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2.1816301372471484E-2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4.921715761933643E-3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1.7272807047147026E-7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7.7861869620206151E-2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2.1081086655659088E-6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3.3543217211492522E-3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8.1880827446483998E-7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4.4059684708334017E-6</v>
      </c>
      <c r="E8" s="423">
        <f>vkm_NGW_PW*SUMIFS(TableVerdeelsleutelVkm[LPG],TableVerdeelsleutelVkm[Voertuigtype],"Lichte voertuigen")*SUMIFS(TableECFTransport[EnergieConsumptieFactor (PJ per km)],TableECFTransport[Index],CONCATENATE($A8,"_LPG_LPG"))</f>
        <v>4.3329894459110031E-4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5.4645901038225163E-2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1.3873180453248075E-2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2.9926146262561244E-3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2.285643261992805E-8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1.4271491728065111E-2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3.3670918671637326E-7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6.1481951122917353E-4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0.85655632422436778</v>
      </c>
      <c r="C14" s="21"/>
      <c r="D14" s="21">
        <f t="shared" ref="D14:M14" si="0">((D5)*10^9/3600)+D12</f>
        <v>3.0437623717852591</v>
      </c>
      <c r="E14" s="21">
        <f t="shared" si="0"/>
        <v>310.00837247468655</v>
      </c>
      <c r="F14" s="21"/>
      <c r="G14" s="21">
        <f t="shared" si="0"/>
        <v>66033.118871045401</v>
      </c>
      <c r="H14" s="21">
        <f t="shared" si="0"/>
        <v>9914.4240676588433</v>
      </c>
      <c r="I14" s="21"/>
      <c r="J14" s="21"/>
      <c r="K14" s="21"/>
      <c r="L14" s="21"/>
      <c r="M14" s="21">
        <f t="shared" si="0"/>
        <v>3300.9643390467204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0.21153283032251169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0.18118978359382751</v>
      </c>
      <c r="C18" s="23"/>
      <c r="D18" s="23">
        <f t="shared" ref="D18:M18" si="1">D14*D16</f>
        <v>0.61483999910062237</v>
      </c>
      <c r="E18" s="23">
        <f t="shared" si="1"/>
        <v>70.371900551753853</v>
      </c>
      <c r="F18" s="23"/>
      <c r="G18" s="23">
        <f t="shared" si="1"/>
        <v>17630.842738569125</v>
      </c>
      <c r="H18" s="23">
        <f t="shared" si="1"/>
        <v>2468.6915928470521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1.2440480526179787E-5</v>
      </c>
      <c r="C50" s="315">
        <f t="shared" ref="C50:P50" si="2">SUM(C51:C52)</f>
        <v>0</v>
      </c>
      <c r="D50" s="315">
        <f t="shared" si="2"/>
        <v>0</v>
      </c>
      <c r="E50" s="315">
        <f t="shared" si="2"/>
        <v>0</v>
      </c>
      <c r="F50" s="315">
        <f t="shared" si="2"/>
        <v>0</v>
      </c>
      <c r="G50" s="315">
        <f t="shared" si="2"/>
        <v>2.6988373494923634E-3</v>
      </c>
      <c r="H50" s="315">
        <f t="shared" si="2"/>
        <v>0</v>
      </c>
      <c r="I50" s="315">
        <f t="shared" si="2"/>
        <v>0</v>
      </c>
      <c r="J50" s="315">
        <f t="shared" si="2"/>
        <v>0</v>
      </c>
      <c r="K50" s="315">
        <f t="shared" si="2"/>
        <v>0</v>
      </c>
      <c r="L50" s="315">
        <f t="shared" si="2"/>
        <v>0</v>
      </c>
      <c r="M50" s="315">
        <f t="shared" si="2"/>
        <v>1.1555384839891825E-4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1.2440480526179787E-5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2.6988373494923634E-3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1.1555384839891825E-4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3.4556890350499407</v>
      </c>
      <c r="C54" s="21">
        <f t="shared" ref="C54:P54" si="3">(C50)*10^9/3600</f>
        <v>0</v>
      </c>
      <c r="D54" s="21">
        <f t="shared" si="3"/>
        <v>0</v>
      </c>
      <c r="E54" s="21">
        <f t="shared" si="3"/>
        <v>0</v>
      </c>
      <c r="F54" s="21">
        <f t="shared" si="3"/>
        <v>0</v>
      </c>
      <c r="G54" s="21">
        <f t="shared" si="3"/>
        <v>749.67704152565648</v>
      </c>
      <c r="H54" s="21">
        <f t="shared" si="3"/>
        <v>0</v>
      </c>
      <c r="I54" s="21">
        <f t="shared" si="3"/>
        <v>0</v>
      </c>
      <c r="J54" s="21">
        <f t="shared" si="3"/>
        <v>0</v>
      </c>
      <c r="K54" s="21">
        <f t="shared" si="3"/>
        <v>0</v>
      </c>
      <c r="L54" s="21">
        <f t="shared" si="3"/>
        <v>0</v>
      </c>
      <c r="M54" s="21">
        <f t="shared" si="3"/>
        <v>32.098291221921741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0.21153283032251169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0.73099168229858325</v>
      </c>
      <c r="C58" s="23">
        <f t="shared" ref="C58:P58" ca="1" si="4">C54*C56</f>
        <v>0</v>
      </c>
      <c r="D58" s="23">
        <f t="shared" si="4"/>
        <v>0</v>
      </c>
      <c r="E58" s="23">
        <f t="shared" si="4"/>
        <v>0</v>
      </c>
      <c r="F58" s="23">
        <f t="shared" si="4"/>
        <v>0</v>
      </c>
      <c r="G58" s="23">
        <f t="shared" si="4"/>
        <v>200.16377008735029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4801.5936688176953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4801.5936688176953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2021-06-29T16:58:40Z</dcterms:modified>
</cp:coreProperties>
</file>