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I76" i="14"/>
  <c r="I8" i="55" s="1"/>
  <c r="I10" i="55" s="1"/>
  <c r="J20" i="18"/>
  <c r="J87" i="14"/>
  <c r="I20" i="18"/>
  <c r="I87" i="14"/>
  <c r="I17" i="55" s="1"/>
  <c r="I20" i="55" s="1"/>
  <c r="O8" i="18"/>
  <c r="O10" i="18" s="1"/>
  <c r="D90" i="14"/>
  <c r="J10" i="18"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<sst xmlns="http://schemas.openxmlformats.org/spreadsheetml/2006/main" count="2599" uniqueCount="994">
  <si>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</si>
  <si>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</si>
  <si>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</si>
  <si>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</si>
  <si>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</si>
  <si>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</si>
  <si>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</si>
  <si>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</si>
  <si>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</si>
  <si>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</si>
  <si>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</si>
  <si>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</si>
  <si>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</si>
  <si>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</si>
  <si>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</si>
  <si>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</si>
  <si>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</si>
  <si>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</si>
  <si>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</si>
  <si>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</si>
  <si>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</si>
  <si>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</si>
  <si>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</si>
  <si>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</si>
  <si>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</si>
  <si>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</si>
  <si>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</si>
  <si>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</si>
  <si>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</si>
  <si>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</si>
  <si>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</si>
  <si>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</si>
  <si>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</si>
  <si>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</si>
  <si>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</si>
  <si>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</si>
  <si>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</si>
  <si>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</si>
  <si>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</si>
  <si>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</si>
  <si>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</si>
  <si>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</si>
  <si>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</si>
  <si>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</si>
  <si>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</si>
  <si>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</si>
  <si>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</si>
  <si>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</si>
  <si>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</si>
  <si>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</si>
  <si>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</si>
  <si>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</si>
  <si>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</si>
  <si>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</si>
  <si>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</si>
  <si>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</si>
  <si>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</si>
  <si>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</si>
  <si>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</si>
  <si>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</si>
  <si>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</si>
  <si>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</si>
  <si>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</si>
  <si>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</si>
  <si>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</si>
  <si>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</si>
  <si>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</si>
  <si>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</si>
  <si>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</si>
  <si>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</si>
  <si>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</si>
  <si>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</si>
  <si>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</si>
  <si>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</si>
  <si>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</si>
  <si>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</si>
  <si>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</si>
  <si>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</si>
  <si>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</si>
  <si>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</si>
  <si>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</si>
  <si>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</si>
  <si>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</si>
  <si>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</si>
  <si>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</si>
  <si>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</si>
  <si>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</si>
  <si>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</si>
  <si>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</si>
  <si>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</si>
  <si>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</si>
  <si>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</si>
  <si>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</si>
  <si>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</si>
  <si>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</si>
  <si>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</si>
  <si>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</si>
  <si>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</si>
  <si>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</si>
  <si>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</si>
  <si>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</si>
  <si>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</si>
  <si>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</si>
  <si>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</si>
  <si>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</si>
  <si>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</si>
  <si>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</si>
  <si>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</si>
  <si>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</si>
  <si>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</si>
  <si>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</si>
  <si>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</si>
  <si>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</si>
  <si>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</si>
  <si>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</si>
  <si>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</si>
  <si>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</si>
  <si>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</si>
  <si>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</si>
  <si>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</si>
  <si>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</si>
  <si>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</si>
  <si>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</si>
  <si>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</si>
  <si>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</si>
  <si>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</si>
  <si>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</si>
  <si>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</si>
  <si>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</si>
  <si>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</si>
  <si>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</si>
  <si>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</si>
  <si>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</si>
  <si>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</si>
  <si>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</si>
  <si>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</si>
  <si>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</si>
  <si>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</si>
  <si>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</si>
  <si>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</si>
  <si>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</si>
  <si>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</si>
  <si>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</si>
  <si>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</si>
  <si>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</si>
  <si>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</si>
  <si>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</si>
  <si>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</si>
  <si>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</si>
  <si>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</si>
  <si>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</si>
  <si>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</si>
  <si>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</si>
  <si>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</si>
  <si>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</si>
  <si>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</si>
  <si>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</si>
  <si>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</si>
  <si>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</si>
  <si>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</si>
  <si>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</si>
  <si>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</si>
  <si>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</si>
  <si>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</si>
  <si>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</si>
  <si>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</si>
  <si>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</si>
  <si>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</si>
  <si>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</si>
  <si>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</si>
  <si>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</si>
  <si>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</si>
  <si>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</si>
  <si>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</si>
  <si>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</si>
  <si>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</si>
  <si>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</si>
  <si>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</si>
  <si>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</si>
  <si>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</si>
  <si>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</si>
  <si>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</si>
  <si>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</si>
  <si>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</si>
  <si>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</si>
  <si>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</si>
  <si>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</si>
  <si>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</si>
  <si>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</si>
  <si>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</si>
  <si>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</si>
  <si>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</si>
  <si>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</si>
  <si>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</si>
  <si>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</si>
  <si>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</si>
  <si>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</si>
  <si>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</si>
  <si>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</si>
  <si>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</si>
  <si>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</si>
  <si>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</si>
  <si>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</si>
  <si>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</si>
  <si>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</si>
  <si>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</si>
  <si>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</si>
  <si>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</si>
  <si>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</si>
  <si>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</si>
  <si>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</si>
  <si>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</si>
  <si>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</si>
  <si>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</si>
  <si>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</si>
  <si>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</si>
  <si>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</si>
  <si>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</si>
  <si>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</si>
  <si>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</si>
  <si>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</si>
  <si>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</si>
  <si>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</si>
  <si>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</si>
  <si>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</si>
  <si>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</si>
  <si>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</si>
  <si>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</si>
  <si>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</si>
  <si>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</si>
  <si>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</si>
  <si>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</si>
  <si>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</si>
  <si>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</si>
  <si>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</si>
  <si>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</si>
  <si>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</si>
  <si>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</si>
  <si>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</si>
  <si>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</si>
  <si>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</si>
  <si>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</si>
  <si>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</si>
  <si>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</si>
  <si>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</si>
  <si>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</si>
  <si>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</si>
  <si>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</si>
  <si>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</si>
  <si>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</si>
  <si>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</si>
  <si>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</si>
  <si>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</si>
  <si>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</si>
  <si>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</si>
  <si>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</si>
  <si>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</si>
  <si>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</si>
  <si>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</si>
  <si>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</si>
  <si>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</si>
  <si>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</si>
  <si>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</si>
  <si>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</si>
  <si>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</si>
  <si>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</si>
  <si>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</si>
  <si>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</si>
  <si>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</si>
  <si>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</si>
  <si>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</si>
  <si>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</si>
  <si>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</si>
  <si>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</si>
  <si>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</si>
  <si>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</si>
  <si>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</si>
  <si>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</si>
  <si>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</si>
  <si>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</si>
  <si>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</si>
  <si>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</si>
  <si>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</si>
  <si>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</si>
  <si>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</si>
  <si>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</si>
  <si>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</si>
  <si>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</si>
  <si>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</si>
  <si>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</si>
  <si>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</si>
  <si>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</si>
  <si>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</si>
  <si>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</si>
  <si>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</si>
  <si>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</si>
  <si>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</si>
  <si>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</si>
  <si>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</si>
  <si>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</si>
  <si>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</si>
  <si>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</si>
  <si>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</si>
  <si>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</si>
  <si>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</si>
  <si>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</si>
  <si>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</si>
  <si>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</si>
  <si>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</si>
  <si>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</si>
  <si>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</si>
  <si>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</si>
  <si>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</si>
  <si>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</si>
  <si>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</si>
  <si>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</si>
  <si>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</si>
  <si>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</si>
  <si>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</si>
  <si>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</si>
  <si>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</si>
  <si>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</si>
  <si>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</si>
  <si>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</si>
  <si>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</si>
  <si>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</si>
  <si>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</si>
  <si>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</si>
  <si>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</si>
  <si>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</si>
  <si>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</si>
  <si>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</si>
  <si>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</si>
  <si>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</si>
  <si>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</si>
  <si>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</si>
  <si>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</si>
  <si>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</si>
  <si>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</si>
  <si>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</si>
  <si>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</si>
  <si>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</si>
  <si>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</si>
  <si>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</si>
  <si>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</si>
  <si>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</si>
  <si>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</si>
  <si>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</si>
  <si>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</si>
  <si>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</si>
  <si>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</si>
  <si>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</si>
  <si>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</si>
  <si>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</si>
  <si>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</si>
  <si>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</si>
  <si>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</si>
  <si>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</si>
  <si>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</si>
  <si>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</si>
  <si>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</si>
  <si>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</si>
  <si>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</si>
  <si>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</si>
  <si>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</si>
  <si>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</si>
  <si>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</si>
  <si>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</si>
  <si>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</si>
  <si>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</si>
  <si>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</si>
  <si>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</si>
  <si>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</si>
  <si>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</si>
  <si>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</si>
  <si>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</si>
  <si>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</si>
  <si>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</si>
  <si>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</si>
  <si>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</si>
  <si>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</si>
  <si>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</si>
  <si>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</si>
  <si>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</si>
  <si>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</si>
  <si>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</si>
  <si>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</si>
  <si>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</si>
  <si>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</si>
  <si>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</si>
  <si>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</si>
  <si>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</si>
  <si>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</si>
  <si>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</si>
  <si>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</si>
  <si>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</si>
  <si>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</si>
  <si>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</si>
  <si>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</si>
  <si>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</si>
  <si>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</si>
  <si>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</si>
  <si>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</si>
  <si>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</si>
  <si>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</si>
  <si>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</si>
  <si>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</si>
  <si>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</si>
  <si>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</si>
  <si>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</si>
  <si>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</si>
  <si>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</si>
  <si>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</si>
  <si>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</si>
  <si>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</si>
  <si>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</si>
  <si>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</si>
  <si>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</si>
  <si>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</si>
  <si>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</si>
  <si>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</si>
  <si>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</si>
  <si>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</si>
  <si>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</si>
  <si>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</si>
  <si>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</si>
  <si>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</si>
  <si>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</si>
  <si>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</si>
  <si>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</si>
  <si>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</si>
  <si>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</si>
  <si>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</si>
  <si>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</si>
  <si>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</si>
  <si>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</si>
  <si>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</si>
  <si>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</si>
  <si>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</si>
  <si>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</si>
  <si>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</si>
  <si>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</si>
  <si>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</si>
  <si>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</si>
  <si>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</si>
  <si>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</si>
  <si>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</si>
  <si>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</si>
  <si>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</si>
  <si>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</si>
  <si>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</si>
  <si>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</si>
  <si>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</si>
  <si>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</si>
  <si>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</si>
  <si>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</si>
  <si>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</si>
  <si>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</si>
  <si>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</si>
  <si>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</si>
  <si>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</si>
  <si>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</si>
  <si>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</si>
  <si>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</si>
  <si>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</si>
  <si>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</si>
  <si>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</si>
  <si>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</si>
  <si>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</si>
  <si>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</si>
  <si>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</si>
  <si>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</si>
  <si>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</si>
  <si>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</si>
  <si>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</si>
  <si>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</si>
  <si>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</si>
  <si>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</si>
  <si>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</si>
  <si>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</si>
  <si>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</si>
  <si>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</si>
  <si>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</si>
  <si>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</si>
  <si>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</si>
  <si>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</si>
  <si>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</si>
  <si>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</si>
  <si>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</si>
  <si>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</si>
  <si>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</si>
  <si>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</si>
  <si>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</si>
  <si>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</si>
  <si>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</si>
  <si>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</si>
  <si>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</si>
  <si>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</si>
  <si>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</si>
  <si>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</si>
  <si>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</si>
  <si>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</si>
  <si>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</si>
  <si>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</si>
  <si>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</si>
  <si>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</si>
  <si>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</si>
  <si>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</si>
  <si>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</si>
  <si>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</si>
  <si>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</si>
  <si>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</si>
  <si>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</si>
  <si>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</si>
  <si>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</si>
  <si>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</si>
  <si>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</si>
  <si>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</si>
  <si>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</si>
  <si>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</si>
  <si>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</si>
  <si>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</si>
  <si>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</si>
  <si>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</si>
  <si>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</si>
  <si>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</si>
  <si>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</si>
  <si>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</si>
  <si>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</si>
  <si>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</si>
  <si>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</si>
  <si>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</si>
  <si>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</si>
  <si>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</si>
  <si>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</si>
  <si>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</si>
  <si>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</si>
  <si>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</si>
  <si>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</si>
  <si>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</si>
  <si>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</si>
  <si>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</si>
  <si>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</si>
  <si>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</si>
  <si>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</si>
  <si>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</si>
  <si>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</si>
  <si>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</si>
  <si>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</si>
  <si>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</si>
  <si>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</si>
  <si>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</si>
  <si>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</si>
  <si>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</si>
  <si>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</si>
  <si>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</si>
  <si>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</si>
  <si>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</si>
  <si>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</si>
  <si>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</si>
  <si>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</si>
  <si>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</si>
  <si>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</si>
  <si>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</si>
  <si>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</si>
  <si>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</si>
  <si>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</si>
  <si>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</si>
  <si>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</si>
  <si>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</si>
  <si>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</si>
  <si>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</si>
  <si>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</si>
  <si>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</si>
  <si>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</si>
  <si>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</si>
  <si>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</si>
  <si>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</si>
  <si>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</si>
  <si>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</si>
  <si>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</si>
  <si>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</si>
  <si>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</si>
  <si>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</si>
  <si>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</si>
  <si>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</si>
  <si>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</si>
  <si>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</si>
  <si>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</si>
  <si>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</si>
  <si>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</si>
  <si>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</si>
  <si>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</si>
  <si>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</si>
  <si>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</si>
  <si>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</si>
  <si>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</si>
  <si>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</si>
  <si>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</si>
  <si>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</si>
  <si>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</si>
  <si>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</si>
  <si>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</si>
  <si>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</si>
  <si>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</si>
  <si>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</si>
  <si>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</si>
  <si>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</si>
  <si>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</si>
  <si>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</si>
  <si>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</si>
  <si>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</si>
  <si>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</si>
  <si>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</si>
  <si>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</si>
  <si>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</si>
  <si>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</si>
  <si>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</si>
  <si>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</si>
  <si>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</si>
  <si>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</si>
  <si>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</si>
  <si>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</si>
  <si>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</si>
  <si>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</si>
  <si>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</si>
  <si>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</si>
  <si>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</si>
  <si>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</si>
  <si>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</si>
  <si>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</si>
  <si>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</si>
  <si>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</si>
  <si>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</si>
  <si>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</si>
  <si>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</si>
  <si>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</si>
  <si>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</si>
  <si>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</si>
  <si>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</si>
  <si>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</si>
  <si>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</si>
  <si>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</si>
  <si>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</si>
  <si>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</si>
  <si>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</si>
  <si>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</si>
  <si>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</si>
  <si>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</si>
  <si>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</si>
  <si>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</si>
  <si>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</si>
  <si>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</si>
  <si>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</si>
  <si>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</si>
  <si>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</si>
  <si>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</si>
  <si>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</si>
  <si>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</si>
  <si>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</si>
  <si>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</si>
  <si>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</si>
  <si>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</si>
  <si>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</si>
  <si>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</si>
  <si>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</si>
  <si>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</si>
  <si>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</si>
  <si>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</si>
  <si>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</si>
  <si>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</si>
  <si>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</si>
  <si>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</si>
  <si>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</si>
  <si>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</si>
  <si>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</si>
  <si>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</si>
  <si>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</si>
  <si>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</si>
  <si>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</si>
  <si>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</si>
  <si>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</si>
  <si>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</si>
  <si>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</si>
  <si>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</si>
  <si>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</si>
  <si>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</si>
  <si>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</si>
  <si>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</si>
  <si>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</si>
  <si>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</si>
  <si>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</si>
  <si>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</si>
  <si>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</si>
  <si>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</si>
  <si>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</si>
  <si>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</si>
  <si>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</si>
  <si>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</si>
  <si>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</si>
  <si>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</si>
  <si>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</si>
  <si>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</si>
  <si>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</si>
  <si>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</si>
  <si>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</si>
  <si>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</si>
  <si>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</si>
  <si>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</si>
  <si>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</si>
  <si>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</si>
  <si>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</si>
  <si>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</si>
  <si>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</si>
  <si>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</si>
  <si>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</si>
  <si>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</si>
  <si>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</si>
  <si>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</si>
  <si>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</si>
  <si>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</si>
  <si>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</si>
  <si>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</si>
  <si>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</si>
  <si>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</si>
  <si>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</si>
  <si>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</si>
  <si>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</si>
  <si>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</si>
  <si>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</si>
  <si>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</si>
  <si>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</si>
  <si>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</si>
  <si>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</si>
  <si>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</si>
  <si>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</si>
  <si>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</si>
  <si>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</si>
  <si>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</si>
  <si>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</si>
  <si>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</si>
  <si>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</si>
  <si>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</si>
  <si>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</si>
  <si>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</si>
  <si>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</si>
  <si>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</si>
  <si>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</si>
  <si>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</si>
  <si>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</si>
  <si>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</si>
  <si>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</si>
  <si>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</si>
  <si>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</si>
  <si>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</si>
  <si>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</si>
  <si>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</si>
  <si>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</si>
  <si>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</si>
  <si>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</si>
  <si>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</si>
  <si>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</si>
  <si>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</si>
  <si>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</si>
  <si>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</si>
  <si>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</si>
  <si>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</si>
  <si>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</si>
  <si>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</si>
  <si>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</si>
  <si>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</si>
  <si>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</si>
  <si>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</si>
  <si>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</si>
  <si>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</si>
  <si>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</si>
  <si>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</si>
  <si>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</si>
  <si>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</si>
  <si>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</si>
  <si>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</si>
  <si>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</si>
  <si>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</si>
  <si>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</si>
  <si>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</si>
  <si>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</si>
  <si>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</si>
  <si>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</si>
  <si>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</si>
  <si>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</si>
  <si>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</si>
  <si>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</si>
  <si>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</si>
  <si>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</si>
  <si>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</si>
  <si>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</si>
  <si>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</si>
  <si>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</si>
  <si>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</si>
  <si>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</si>
  <si>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</si>
  <si>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</si>
  <si>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</si>
  <si>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</si>
  <si>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</si>
  <si>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</si>
  <si>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</si>
  <si>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</si>
  <si>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</si>
  <si>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</si>
  <si>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</si>
  <si>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</si>
  <si>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</si>
  <si>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</si>
  <si>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</si>
  <si>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</si>
  <si>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</si>
  <si>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</si>
  <si>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</si>
  <si>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</si>
  <si>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</si>
  <si>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</si>
  <si>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</si>
  <si>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</si>
  <si>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</si>
  <si>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</si>
  <si>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</si>
  <si>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</si>
  <si>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</si>
  <si>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</si>
  <si>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</si>
  <si>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</si>
  <si>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</si>
  <si>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</si>
  <si>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</si>
  <si>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</si>
  <si>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</si>
  <si>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</si>
  <si>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</si>
  <si>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</si>
  <si>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</si>
  <si>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</si>
  <si>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</si>
  <si>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</si>
  <si>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</si>
  <si>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</si>
  <si>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</si>
  <si>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</si>
  <si>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</si>
  <si>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</si>
  <si>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</si>
  <si>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</si>
  <si>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</si>
  <si>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</si>
  <si>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</si>
  <si>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</si>
  <si>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</si>
  <si>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</si>
  <si>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</si>
  <si>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</si>
  <si>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</si>
  <si>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</si>
  <si>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</si>
  <si>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</si>
  <si>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</si>
  <si>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</si>
  <si>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</si>
  <si>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</si>
  <si>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</si>
  <si>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</si>
  <si>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</si>
  <si>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</si>
  <si>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</si>
  <si>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</si>
  <si>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</si>
  <si>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</si>
  <si>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</si>
  <si>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</si>
  <si>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</si>
  <si>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</si>
  <si>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</si>
  <si>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</si>
  <si>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</si>
  <si>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</si>
  <si>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</si>
  <si>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</si>
  <si>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</si>
  <si>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</si>
  <si>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</si>
  <si>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</si>
  <si>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</si>
  <si>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</si>
  <si>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</si>
  <si>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</si>
  <si>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</si>
  <si>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</si>
  <si>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</si>
  <si>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</si>
  <si>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</si>
  <si>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</si>
  <si>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</si>
  <si>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</si>
  <si>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</si>
  <si>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</si>
  <si>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</si>
  <si>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</si>
  <si>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</si>
  <si>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</si>
  <si>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</si>
  <si>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</si>
  <si>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</si>
  <si>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</si>
  <si>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</si>
  <si>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</si>
  <si>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</si>
  <si>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</si>
  <si>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</si>
  <si>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</si>
  <si>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</si>
  <si>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</si>
  <si>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</si>
  <si>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</si>
  <si>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</si>
  <si>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</si>
  <si>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</si>
  <si>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</si>
  <si>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</si>
  <si>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</si>
  <si>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</si>
  <si>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</si>
  <si>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</si>
  <si>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</si>
  <si>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</si>
  <si>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</si>
  <si>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</si>
  <si>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</si>
  <si>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</si>
  <si>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</si>
  <si>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</si>
  <si>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</si>
  <si>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</si>
  <si>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</si>
  <si>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</si>
  <si>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</si>
  <si>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</si>
  <si>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</si>
  <si>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</si>
  <si>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</si>
  <si>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</si>
  <si>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</si>
  <si>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</si>
  <si>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</si>
  <si>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</si>
  <si>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</si>
  <si>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</si>
  <si>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</si>
  <si>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</si>
  <si>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</si>
  <si>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</si>
  <si>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</si>
  <si>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</si>
  <si>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</si>
  <si>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</si>
  <si>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</si>
  <si>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</si>
  <si>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</si>
  <si>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</si>
  <si>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</si>
  <si>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</si>
  <si>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</si>
  <si>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</si>
  <si>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</si>
  <si>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</si>
  <si>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</si>
  <si>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</si>
  <si>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</si>
  <si>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24016</t>
  </si>
  <si>
    <t>BOUTERSEM</t>
  </si>
  <si>
    <t>Paarden&amp;pony's 200 - 600 kg</t>
  </si>
  <si>
    <t>Paarden&amp;pony's &lt; 200 kg</t>
  </si>
  <si>
    <t>Fluvius</t>
  </si>
  <si>
    <t xml:space="preserve">Bron: </t>
  </si>
  <si>
    <t>referentietaak LNE (2017); Jaarverslag De Lijn</t>
  </si>
  <si>
    <t>Guilliams Green Power BV GCV</t>
  </si>
  <si>
    <t>Dalemstraat 11 , 3370 Boutersem</t>
  </si>
  <si>
    <t>WKK-0239 Bio-Energie Agriferm</t>
  </si>
  <si>
    <t>interne verbrandingsmotor</t>
  </si>
  <si>
    <t>WKK interne verbrandinsgmotor (gas)</t>
  </si>
  <si>
    <t>Dalemstraat 12 , 3370 Boutersem</t>
  </si>
  <si>
    <t>IVERLEK</t>
  </si>
  <si>
    <t>BGS-0066 Guilliams Green Power-agr.verg</t>
  </si>
  <si>
    <t>biogas - hoofdzakelijk agrarische stromen</t>
  </si>
  <si>
    <t>niet WKK interne verbrandingsmotor (andere biomassa)</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</si>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</sst>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24016</v>
      </c>
      <c r="B6" s="386"/>
      <c r="C6" s="387"/>
    </row>
    <row r="7" spans="1:7" s="384" customFormat="1" ht="15.75" customHeight="1">
      <c r="A7" s="388" t="str">
        <f>txtMunicipality</f>
        <v>BOUTERSEM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5103.7391989811358</v>
      </c>
      <c r="D10" s="676">
        <f ca="1">tertiair!C16</f>
        <v>0</v>
      </c>
      <c r="E10" s="676">
        <f ca="1">tertiair!D16</f>
        <v>4487.5799567783215</v>
      </c>
      <c r="F10" s="676">
        <f>tertiair!E16</f>
        <v>115.39339298033207</v>
      </c>
      <c r="G10" s="676">
        <f ca="1">tertiair!F16</f>
        <v>823.73039016880443</v>
      </c>
      <c r="H10" s="676">
        <f>tertiair!G16</f>
        <v>0</v>
      </c>
      <c r="I10" s="676">
        <f>tertiair!H16</f>
        <v>0</v>
      </c>
      <c r="J10" s="676">
        <f>tertiair!I16</f>
        <v>0</v>
      </c>
      <c r="K10" s="676">
        <f>tertiair!J16</f>
        <v>0</v>
      </c>
      <c r="L10" s="676">
        <f>tertiair!K16</f>
        <v>0</v>
      </c>
      <c r="M10" s="676">
        <f ca="1">tertiair!L16</f>
        <v>0</v>
      </c>
      <c r="N10" s="676">
        <f>tertiair!M16</f>
        <v>0</v>
      </c>
      <c r="O10" s="676">
        <f ca="1">tertiair!N16</f>
        <v>150.4825424429352</v>
      </c>
      <c r="P10" s="676">
        <f>tertiair!O16</f>
        <v>0</v>
      </c>
      <c r="Q10" s="677">
        <f>tertiair!P16</f>
        <v>19.066666666666666</v>
      </c>
      <c r="R10" s="679">
        <f ca="1">SUM(C10:Q10)</f>
        <v>10699.992148018197</v>
      </c>
      <c r="S10" s="67"/>
    </row>
    <row r="11" spans="1:19" s="445" customFormat="1">
      <c r="A11" s="791" t="s">
        <v>220</v>
      </c>
      <c r="B11" s="796"/>
      <c r="C11" s="676">
        <f>huishoudens!B8</f>
        <v>14036.444783661</v>
      </c>
      <c r="D11" s="676">
        <f>huishoudens!C8</f>
        <v>0</v>
      </c>
      <c r="E11" s="676">
        <f>huishoudens!D8</f>
        <v>24347.247366820488</v>
      </c>
      <c r="F11" s="676">
        <f>huishoudens!E8</f>
        <v>752.81687507748768</v>
      </c>
      <c r="G11" s="676">
        <f>huishoudens!F8</f>
        <v>25696.94905947995</v>
      </c>
      <c r="H11" s="676">
        <f>huishoudens!G8</f>
        <v>0</v>
      </c>
      <c r="I11" s="676">
        <f>huishoudens!H8</f>
        <v>0</v>
      </c>
      <c r="J11" s="676">
        <f>huishoudens!I8</f>
        <v>0</v>
      </c>
      <c r="K11" s="676">
        <f>huishoudens!J8</f>
        <v>578.63014367389633</v>
      </c>
      <c r="L11" s="676">
        <f>huishoudens!K8</f>
        <v>0</v>
      </c>
      <c r="M11" s="676">
        <f>huishoudens!L8</f>
        <v>0</v>
      </c>
      <c r="N11" s="676">
        <f>huishoudens!M8</f>
        <v>0</v>
      </c>
      <c r="O11" s="676">
        <f>huishoudens!N8</f>
        <v>3669.8499131264375</v>
      </c>
      <c r="P11" s="676">
        <f>huishoudens!O8</f>
        <v>37.520000000000003</v>
      </c>
      <c r="Q11" s="677">
        <f>huishoudens!P8</f>
        <v>76.266666666666666</v>
      </c>
      <c r="R11" s="679">
        <f>SUM(C11:Q11)</f>
        <v>69195.724808505925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744.64965502774805</v>
      </c>
      <c r="D13" s="676">
        <f>industrie!C18</f>
        <v>0</v>
      </c>
      <c r="E13" s="676">
        <f>industrie!D18</f>
        <v>384.55532636650128</v>
      </c>
      <c r="F13" s="676">
        <f>industrie!E18</f>
        <v>9.8798316062764897</v>
      </c>
      <c r="G13" s="676">
        <f>industrie!F18</f>
        <v>374.39038592611473</v>
      </c>
      <c r="H13" s="676">
        <f>industrie!G18</f>
        <v>0</v>
      </c>
      <c r="I13" s="676">
        <f>industrie!H18</f>
        <v>0</v>
      </c>
      <c r="J13" s="676">
        <f>industrie!I18</f>
        <v>0</v>
      </c>
      <c r="K13" s="676">
        <f>industrie!J18</f>
        <v>1.7066645816040318</v>
      </c>
      <c r="L13" s="676">
        <f>industrie!K18</f>
        <v>0</v>
      </c>
      <c r="M13" s="676">
        <f>industrie!L18</f>
        <v>0</v>
      </c>
      <c r="N13" s="676">
        <f>industrie!M18</f>
        <v>0</v>
      </c>
      <c r="O13" s="676">
        <f>industrie!N18</f>
        <v>35.238636510269174</v>
      </c>
      <c r="P13" s="676">
        <f>industrie!O18</f>
        <v>0</v>
      </c>
      <c r="Q13" s="677">
        <f>industrie!P18</f>
        <v>0</v>
      </c>
      <c r="R13" s="679">
        <f>SUM(C13:Q13)</f>
        <v>1550.4205000185136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19884.833637669883</v>
      </c>
      <c r="D16" s="709">
        <f t="shared" ref="D16:R16" ca="1" si="0">SUM(D9:D15)</f>
        <v>0</v>
      </c>
      <c r="E16" s="709">
        <f t="shared" ca="1" si="0"/>
        <v>29219.382649965311</v>
      </c>
      <c r="F16" s="709">
        <f t="shared" si="0"/>
        <v>878.09009966409633</v>
      </c>
      <c r="G16" s="709">
        <f t="shared" ca="1" si="0"/>
        <v>26895.069835574868</v>
      </c>
      <c r="H16" s="709">
        <f t="shared" si="0"/>
        <v>0</v>
      </c>
      <c r="I16" s="709">
        <f t="shared" si="0"/>
        <v>0</v>
      </c>
      <c r="J16" s="709">
        <f t="shared" si="0"/>
        <v>0</v>
      </c>
      <c r="K16" s="709">
        <f t="shared" si="0"/>
        <v>580.33680825550039</v>
      </c>
      <c r="L16" s="709">
        <f t="shared" si="0"/>
        <v>0</v>
      </c>
      <c r="M16" s="709">
        <f t="shared" ca="1" si="0"/>
        <v>0</v>
      </c>
      <c r="N16" s="709">
        <f t="shared" si="0"/>
        <v>0</v>
      </c>
      <c r="O16" s="709">
        <f t="shared" ca="1" si="0"/>
        <v>3855.5710920796419</v>
      </c>
      <c r="P16" s="709">
        <f t="shared" si="0"/>
        <v>37.520000000000003</v>
      </c>
      <c r="Q16" s="709">
        <f t="shared" si="0"/>
        <v>95.333333333333329</v>
      </c>
      <c r="R16" s="709">
        <f t="shared" ca="1" si="0"/>
        <v>81446.137456542638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3.7268829213752719</v>
      </c>
      <c r="D19" s="676">
        <f>transport!C54</f>
        <v>0</v>
      </c>
      <c r="E19" s="676">
        <f>transport!D54</f>
        <v>0</v>
      </c>
      <c r="F19" s="676">
        <f>transport!E54</f>
        <v>0</v>
      </c>
      <c r="G19" s="676">
        <f>transport!F54</f>
        <v>0</v>
      </c>
      <c r="H19" s="676">
        <f>transport!G54</f>
        <v>808.50983241573169</v>
      </c>
      <c r="I19" s="676">
        <f>transport!H54</f>
        <v>0</v>
      </c>
      <c r="J19" s="676">
        <f>transport!I54</f>
        <v>0</v>
      </c>
      <c r="K19" s="676">
        <f>transport!J54</f>
        <v>0</v>
      </c>
      <c r="L19" s="676">
        <f>transport!K54</f>
        <v>0</v>
      </c>
      <c r="M19" s="676">
        <f>transport!L54</f>
        <v>0</v>
      </c>
      <c r="N19" s="676">
        <f>transport!M54</f>
        <v>34.617285336433952</v>
      </c>
      <c r="O19" s="676">
        <f>transport!N54</f>
        <v>0</v>
      </c>
      <c r="P19" s="676">
        <f>transport!O54</f>
        <v>0</v>
      </c>
      <c r="Q19" s="677">
        <f>transport!P54</f>
        <v>0</v>
      </c>
      <c r="R19" s="679">
        <f>SUM(C19:Q19)</f>
        <v>846.8540006735409</v>
      </c>
      <c r="S19" s="67"/>
    </row>
    <row r="20" spans="1:19" s="445" customFormat="1">
      <c r="A20" s="791" t="s">
        <v>302</v>
      </c>
      <c r="B20" s="796"/>
      <c r="C20" s="676">
        <f>transport!B14</f>
        <v>1.3160842231925971</v>
      </c>
      <c r="D20" s="676">
        <f>transport!C14</f>
        <v>0</v>
      </c>
      <c r="E20" s="676">
        <f>transport!D14</f>
        <v>4.1791816266875177</v>
      </c>
      <c r="F20" s="676">
        <f>transport!E14</f>
        <v>494.78302024104431</v>
      </c>
      <c r="G20" s="676">
        <f>transport!F14</f>
        <v>0</v>
      </c>
      <c r="H20" s="676">
        <f>transport!G14</f>
        <v>91516.000885363479</v>
      </c>
      <c r="I20" s="676">
        <f>transport!H14</f>
        <v>14369.280508557291</v>
      </c>
      <c r="J20" s="676">
        <f>transport!I14</f>
        <v>0</v>
      </c>
      <c r="K20" s="676">
        <f>transport!J14</f>
        <v>0</v>
      </c>
      <c r="L20" s="676">
        <f>transport!K14</f>
        <v>0</v>
      </c>
      <c r="M20" s="676">
        <f>transport!L14</f>
        <v>0</v>
      </c>
      <c r="N20" s="676">
        <f>transport!M14</f>
        <v>4603.780971696985</v>
      </c>
      <c r="O20" s="676">
        <f>transport!N14</f>
        <v>0</v>
      </c>
      <c r="P20" s="676">
        <f>transport!O14</f>
        <v>0</v>
      </c>
      <c r="Q20" s="677">
        <f>transport!P14</f>
        <v>0</v>
      </c>
      <c r="R20" s="679">
        <f>SUM(C20:Q20)</f>
        <v>110989.34065170867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5.0429671445678688</v>
      </c>
      <c r="D22" s="794">
        <f t="shared" ref="D22:R22" si="1">SUM(D18:D21)</f>
        <v>0</v>
      </c>
      <c r="E22" s="794">
        <f t="shared" si="1"/>
        <v>4.1791816266875177</v>
      </c>
      <c r="F22" s="794">
        <f t="shared" si="1"/>
        <v>494.78302024104431</v>
      </c>
      <c r="G22" s="794">
        <f t="shared" si="1"/>
        <v>0</v>
      </c>
      <c r="H22" s="794">
        <f t="shared" si="1"/>
        <v>92324.510717779209</v>
      </c>
      <c r="I22" s="794">
        <f t="shared" si="1"/>
        <v>14369.280508557291</v>
      </c>
      <c r="J22" s="794">
        <f t="shared" si="1"/>
        <v>0</v>
      </c>
      <c r="K22" s="794">
        <f t="shared" si="1"/>
        <v>0</v>
      </c>
      <c r="L22" s="794">
        <f t="shared" si="1"/>
        <v>0</v>
      </c>
      <c r="M22" s="794">
        <f t="shared" si="1"/>
        <v>0</v>
      </c>
      <c r="N22" s="794">
        <f t="shared" si="1"/>
        <v>4638.3982570334192</v>
      </c>
      <c r="O22" s="794">
        <f t="shared" si="1"/>
        <v>0</v>
      </c>
      <c r="P22" s="794">
        <f t="shared" si="1"/>
        <v>0</v>
      </c>
      <c r="Q22" s="794">
        <f t="shared" si="1"/>
        <v>0</v>
      </c>
      <c r="R22" s="794">
        <f t="shared" si="1"/>
        <v>111836.19465238221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466.88661045427818</v>
      </c>
      <c r="D24" s="676">
        <f>+landbouw!C8</f>
        <v>8022.8571428571431</v>
      </c>
      <c r="E24" s="676">
        <f>+landbouw!D8</f>
        <v>250.65986928399923</v>
      </c>
      <c r="F24" s="676">
        <f>+landbouw!E8</f>
        <v>4.8893376615064756</v>
      </c>
      <c r="G24" s="676">
        <f>+landbouw!F8</f>
        <v>1998.6294512248967</v>
      </c>
      <c r="H24" s="676">
        <f>+landbouw!G8</f>
        <v>0</v>
      </c>
      <c r="I24" s="676">
        <f>+landbouw!H8</f>
        <v>0</v>
      </c>
      <c r="J24" s="676">
        <f>+landbouw!I8</f>
        <v>0</v>
      </c>
      <c r="K24" s="676">
        <f>+landbouw!J8</f>
        <v>41.6971590896474</v>
      </c>
      <c r="L24" s="676">
        <f>+landbouw!K8</f>
        <v>0</v>
      </c>
      <c r="M24" s="676">
        <f>+landbouw!L8</f>
        <v>0</v>
      </c>
      <c r="N24" s="676">
        <f>+landbouw!M8</f>
        <v>0</v>
      </c>
      <c r="O24" s="676">
        <f>+landbouw!N8</f>
        <v>0</v>
      </c>
      <c r="P24" s="676">
        <f>+landbouw!O8</f>
        <v>0</v>
      </c>
      <c r="Q24" s="677">
        <f>+landbouw!P8</f>
        <v>0</v>
      </c>
      <c r="R24" s="679">
        <f>SUM(C24:Q24)</f>
        <v>10785.619570571473</v>
      </c>
      <c r="S24" s="67"/>
    </row>
    <row r="25" spans="1:19" s="445" customFormat="1" ht="15" thickBot="1">
      <c r="A25" s="813" t="s">
        <v>895</v>
      </c>
      <c r="B25" s="968"/>
      <c r="C25" s="969">
        <f>IF(Onbekend_ele_kWh="---",0,Onbekend_ele_kWh)/1000+IF(REST_rest_ele_kWh="---",0,REST_rest_ele_kWh)/1000</f>
        <v>745.63057162868893</v>
      </c>
      <c r="D25" s="969"/>
      <c r="E25" s="969">
        <f>IF(onbekend_gas_kWh="---",0,onbekend_gas_kWh)/1000+IF(REST_rest_gas_kWh="---",0,REST_rest_gas_kWh)/1000</f>
        <v>1327.52457054618</v>
      </c>
      <c r="F25" s="969"/>
      <c r="G25" s="969"/>
      <c r="H25" s="969"/>
      <c r="I25" s="969"/>
      <c r="J25" s="969"/>
      <c r="K25" s="969"/>
      <c r="L25" s="969"/>
      <c r="M25" s="969"/>
      <c r="N25" s="969"/>
      <c r="O25" s="969"/>
      <c r="P25" s="969"/>
      <c r="Q25" s="970"/>
      <c r="R25" s="679">
        <f>SUM(C25:Q25)</f>
        <v>2073.1551421748691</v>
      </c>
      <c r="S25" s="67"/>
    </row>
    <row r="26" spans="1:19" s="445" customFormat="1" ht="15.75" thickBot="1">
      <c r="A26" s="682" t="s">
        <v>896</v>
      </c>
      <c r="B26" s="799"/>
      <c r="C26" s="794">
        <f>SUM(C24:C25)</f>
        <v>1212.5171820829671</v>
      </c>
      <c r="D26" s="794">
        <f t="shared" ref="D26:R26" si="2">SUM(D24:D25)</f>
        <v>8022.8571428571431</v>
      </c>
      <c r="E26" s="794">
        <f t="shared" si="2"/>
        <v>1578.1844398301791</v>
      </c>
      <c r="F26" s="794">
        <f t="shared" si="2"/>
        <v>4.8893376615064756</v>
      </c>
      <c r="G26" s="794">
        <f t="shared" si="2"/>
        <v>1998.6294512248967</v>
      </c>
      <c r="H26" s="794">
        <f t="shared" si="2"/>
        <v>0</v>
      </c>
      <c r="I26" s="794">
        <f t="shared" si="2"/>
        <v>0</v>
      </c>
      <c r="J26" s="794">
        <f t="shared" si="2"/>
        <v>0</v>
      </c>
      <c r="K26" s="794">
        <f t="shared" si="2"/>
        <v>41.6971590896474</v>
      </c>
      <c r="L26" s="794">
        <f t="shared" si="2"/>
        <v>0</v>
      </c>
      <c r="M26" s="794">
        <f t="shared" si="2"/>
        <v>0</v>
      </c>
      <c r="N26" s="794">
        <f t="shared" si="2"/>
        <v>0</v>
      </c>
      <c r="O26" s="794">
        <f t="shared" si="2"/>
        <v>0</v>
      </c>
      <c r="P26" s="794">
        <f t="shared" si="2"/>
        <v>0</v>
      </c>
      <c r="Q26" s="794">
        <f t="shared" si="2"/>
        <v>0</v>
      </c>
      <c r="R26" s="794">
        <f t="shared" si="2"/>
        <v>12858.774712746341</v>
      </c>
      <c r="S26" s="67"/>
    </row>
    <row r="27" spans="1:19" s="445" customFormat="1" ht="17.25" thickTop="1" thickBot="1">
      <c r="A27" s="683" t="s">
        <v>115</v>
      </c>
      <c r="B27" s="786"/>
      <c r="C27" s="684">
        <f ca="1">C22+C16+C26</f>
        <v>21102.393786897417</v>
      </c>
      <c r="D27" s="684">
        <f t="shared" ref="D27:R27" ca="1" si="3">D22+D16+D26</f>
        <v>8022.8571428571431</v>
      </c>
      <c r="E27" s="684">
        <f t="shared" ca="1" si="3"/>
        <v>30801.74627142218</v>
      </c>
      <c r="F27" s="684">
        <f t="shared" si="3"/>
        <v>1377.7624575666471</v>
      </c>
      <c r="G27" s="684">
        <f t="shared" ca="1" si="3"/>
        <v>28893.699286799765</v>
      </c>
      <c r="H27" s="684">
        <f t="shared" si="3"/>
        <v>92324.510717779209</v>
      </c>
      <c r="I27" s="684">
        <f t="shared" si="3"/>
        <v>14369.280508557291</v>
      </c>
      <c r="J27" s="684">
        <f t="shared" si="3"/>
        <v>0</v>
      </c>
      <c r="K27" s="684">
        <f t="shared" si="3"/>
        <v>622.03396734514774</v>
      </c>
      <c r="L27" s="684">
        <f t="shared" si="3"/>
        <v>0</v>
      </c>
      <c r="M27" s="684">
        <f t="shared" ca="1" si="3"/>
        <v>0</v>
      </c>
      <c r="N27" s="684">
        <f t="shared" si="3"/>
        <v>4638.3982570334192</v>
      </c>
      <c r="O27" s="684">
        <f t="shared" ca="1" si="3"/>
        <v>3855.5710920796419</v>
      </c>
      <c r="P27" s="684">
        <f t="shared" si="3"/>
        <v>37.520000000000003</v>
      </c>
      <c r="Q27" s="684">
        <f t="shared" si="3"/>
        <v>95.333333333333329</v>
      </c>
      <c r="R27" s="684">
        <f t="shared" ca="1" si="3"/>
        <v>206141.10682167122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624.29577446684948</v>
      </c>
      <c r="D40" s="676">
        <f ca="1">tertiair!C20</f>
        <v>0</v>
      </c>
      <c r="E40" s="676">
        <f ca="1">tertiair!D20</f>
        <v>906.49115126922095</v>
      </c>
      <c r="F40" s="676">
        <f>tertiair!E20</f>
        <v>26.194300206535381</v>
      </c>
      <c r="G40" s="676">
        <f ca="1">tertiair!F20</f>
        <v>219.9360141750708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1776.9172401176766</v>
      </c>
    </row>
    <row r="41" spans="1:18">
      <c r="A41" s="804" t="s">
        <v>220</v>
      </c>
      <c r="B41" s="811"/>
      <c r="C41" s="676">
        <f ca="1">huishoudens!B12</f>
        <v>1716.955515424095</v>
      </c>
      <c r="D41" s="676">
        <f ca="1">huishoudens!C12</f>
        <v>0</v>
      </c>
      <c r="E41" s="676">
        <f>huishoudens!D12</f>
        <v>4918.1439680977392</v>
      </c>
      <c r="F41" s="676">
        <f>huishoudens!E12</f>
        <v>170.8894306425897</v>
      </c>
      <c r="G41" s="676">
        <f>huishoudens!F12</f>
        <v>6861.0853988811468</v>
      </c>
      <c r="H41" s="676">
        <f>huishoudens!G12</f>
        <v>0</v>
      </c>
      <c r="I41" s="676">
        <f>huishoudens!H12</f>
        <v>0</v>
      </c>
      <c r="J41" s="676">
        <f>huishoudens!I12</f>
        <v>0</v>
      </c>
      <c r="K41" s="676">
        <f>huishoudens!J12</f>
        <v>204.83507086055928</v>
      </c>
      <c r="L41" s="676">
        <f>huishoudens!K12</f>
        <v>0</v>
      </c>
      <c r="M41" s="676">
        <f>huishoudens!L12</f>
        <v>0</v>
      </c>
      <c r="N41" s="676">
        <f>huishoudens!M12</f>
        <v>0</v>
      </c>
      <c r="O41" s="676">
        <f>huishoudens!N12</f>
        <v>0</v>
      </c>
      <c r="P41" s="676">
        <f>huishoudens!O12</f>
        <v>0</v>
      </c>
      <c r="Q41" s="751">
        <f>huishoudens!P12</f>
        <v>0</v>
      </c>
      <c r="R41" s="832">
        <f t="shared" ca="1" si="4"/>
        <v>13871.90938390613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91.086478945637552</v>
      </c>
      <c r="D43" s="676">
        <f ca="1">industrie!C22</f>
        <v>0</v>
      </c>
      <c r="E43" s="676">
        <f>industrie!D22</f>
        <v>77.680175926033257</v>
      </c>
      <c r="F43" s="676">
        <f>industrie!E22</f>
        <v>2.2427217746247634</v>
      </c>
      <c r="G43" s="676">
        <f>industrie!F22</f>
        <v>99.962233042272644</v>
      </c>
      <c r="H43" s="676">
        <f>industrie!G22</f>
        <v>0</v>
      </c>
      <c r="I43" s="676">
        <f>industrie!H22</f>
        <v>0</v>
      </c>
      <c r="J43" s="676">
        <f>industrie!I22</f>
        <v>0</v>
      </c>
      <c r="K43" s="676">
        <f>industrie!J22</f>
        <v>0.6041592618878272</v>
      </c>
      <c r="L43" s="676">
        <f>industrie!K22</f>
        <v>0</v>
      </c>
      <c r="M43" s="676">
        <f>industrie!L22</f>
        <v>0</v>
      </c>
      <c r="N43" s="676">
        <f>industrie!M22</f>
        <v>0</v>
      </c>
      <c r="O43" s="676">
        <f>industrie!N22</f>
        <v>0</v>
      </c>
      <c r="P43" s="676">
        <f>industrie!O22</f>
        <v>0</v>
      </c>
      <c r="Q43" s="751">
        <f>industrie!P22</f>
        <v>0</v>
      </c>
      <c r="R43" s="831">
        <f t="shared" ca="1" si="4"/>
        <v>271.57576895045605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2432.3377688365822</v>
      </c>
      <c r="D46" s="709">
        <f t="shared" ref="D46:Q46" ca="1" si="5">SUM(D39:D45)</f>
        <v>0</v>
      </c>
      <c r="E46" s="709">
        <f t="shared" ca="1" si="5"/>
        <v>5902.3152952929931</v>
      </c>
      <c r="F46" s="709">
        <f t="shared" si="5"/>
        <v>199.32645262374984</v>
      </c>
      <c r="G46" s="709">
        <f t="shared" ca="1" si="5"/>
        <v>7180.9836460984907</v>
      </c>
      <c r="H46" s="709">
        <f t="shared" si="5"/>
        <v>0</v>
      </c>
      <c r="I46" s="709">
        <f t="shared" si="5"/>
        <v>0</v>
      </c>
      <c r="J46" s="709">
        <f t="shared" si="5"/>
        <v>0</v>
      </c>
      <c r="K46" s="709">
        <f t="shared" si="5"/>
        <v>205.4392301224471</v>
      </c>
      <c r="L46" s="709">
        <f t="shared" si="5"/>
        <v>0</v>
      </c>
      <c r="M46" s="709">
        <f t="shared" ca="1" si="5"/>
        <v>0</v>
      </c>
      <c r="N46" s="709">
        <f t="shared" si="5"/>
        <v>0</v>
      </c>
      <c r="O46" s="709">
        <f t="shared" ca="1" si="5"/>
        <v>0</v>
      </c>
      <c r="P46" s="709">
        <f t="shared" si="5"/>
        <v>0</v>
      </c>
      <c r="Q46" s="709">
        <f t="shared" si="5"/>
        <v>0</v>
      </c>
      <c r="R46" s="709">
        <f ca="1">SUM(R39:R45)</f>
        <v>15920.402392974262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0.45587698921052366</v>
      </c>
      <c r="D49" s="676">
        <f ca="1">transport!C58</f>
        <v>0</v>
      </c>
      <c r="E49" s="676">
        <f>transport!D58</f>
        <v>0</v>
      </c>
      <c r="F49" s="676">
        <f>transport!E58</f>
        <v>0</v>
      </c>
      <c r="G49" s="676">
        <f>transport!F58</f>
        <v>0</v>
      </c>
      <c r="H49" s="676">
        <f>transport!G58</f>
        <v>215.87212525500038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216.32800224421092</v>
      </c>
    </row>
    <row r="50" spans="1:18">
      <c r="A50" s="807" t="s">
        <v>302</v>
      </c>
      <c r="B50" s="817"/>
      <c r="C50" s="975">
        <f ca="1">transport!B18</f>
        <v>0.16098507140522508</v>
      </c>
      <c r="D50" s="975">
        <f>transport!C18</f>
        <v>0</v>
      </c>
      <c r="E50" s="975">
        <f>transport!D18</f>
        <v>0.84419468859087865</v>
      </c>
      <c r="F50" s="975">
        <f>transport!E18</f>
        <v>112.31574559471706</v>
      </c>
      <c r="G50" s="975">
        <f>transport!F18</f>
        <v>0</v>
      </c>
      <c r="H50" s="975">
        <f>transport!G18</f>
        <v>24434.772236392051</v>
      </c>
      <c r="I50" s="975">
        <f>transport!H18</f>
        <v>3577.9508466307652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28126.044008377532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0.61686206061574878</v>
      </c>
      <c r="D52" s="709">
        <f t="shared" ref="D52:Q52" ca="1" si="6">SUM(D48:D51)</f>
        <v>0</v>
      </c>
      <c r="E52" s="709">
        <f t="shared" si="6"/>
        <v>0.84419468859087865</v>
      </c>
      <c r="F52" s="709">
        <f t="shared" si="6"/>
        <v>112.31574559471706</v>
      </c>
      <c r="G52" s="709">
        <f t="shared" si="6"/>
        <v>0</v>
      </c>
      <c r="H52" s="709">
        <f t="shared" si="6"/>
        <v>24650.644361647053</v>
      </c>
      <c r="I52" s="709">
        <f t="shared" si="6"/>
        <v>3577.9508466307652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28342.372010621744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57.110155260273359</v>
      </c>
      <c r="D54" s="975">
        <f ca="1">+landbouw!C12</f>
        <v>0</v>
      </c>
      <c r="E54" s="975">
        <f>+landbouw!D12</f>
        <v>50.633293595367846</v>
      </c>
      <c r="F54" s="975">
        <f>+landbouw!E12</f>
        <v>1.10987964916197</v>
      </c>
      <c r="G54" s="975">
        <f>+landbouw!F12</f>
        <v>533.63406347704745</v>
      </c>
      <c r="H54" s="975">
        <f>+landbouw!G12</f>
        <v>0</v>
      </c>
      <c r="I54" s="975">
        <f>+landbouw!H12</f>
        <v>0</v>
      </c>
      <c r="J54" s="975">
        <f>+landbouw!I12</f>
        <v>0</v>
      </c>
      <c r="K54" s="975">
        <f>+landbouw!J12</f>
        <v>14.760794317735179</v>
      </c>
      <c r="L54" s="975">
        <f>+landbouw!K12</f>
        <v>0</v>
      </c>
      <c r="M54" s="975">
        <f>+landbouw!L12</f>
        <v>0</v>
      </c>
      <c r="N54" s="975">
        <f>+landbouw!M12</f>
        <v>0</v>
      </c>
      <c r="O54" s="975">
        <f>+landbouw!N12</f>
        <v>0</v>
      </c>
      <c r="P54" s="975">
        <f>+landbouw!O12</f>
        <v>0</v>
      </c>
      <c r="Q54" s="976">
        <f>+landbouw!P12</f>
        <v>0</v>
      </c>
      <c r="R54" s="708">
        <f ca="1">SUM(C54:Q54)</f>
        <v>657.24818629958577</v>
      </c>
    </row>
    <row r="55" spans="1:18" ht="15" thickBot="1">
      <c r="A55" s="807" t="s">
        <v>895</v>
      </c>
      <c r="B55" s="817"/>
      <c r="C55" s="975">
        <f ca="1">C25*'EF ele_warmte'!B12</f>
        <v>91.206465893480413</v>
      </c>
      <c r="D55" s="975"/>
      <c r="E55" s="975">
        <f>E25*EF_CO2_aardgas</f>
        <v>268.15996325032836</v>
      </c>
      <c r="F55" s="975"/>
      <c r="G55" s="975"/>
      <c r="H55" s="975"/>
      <c r="I55" s="975"/>
      <c r="J55" s="975"/>
      <c r="K55" s="975"/>
      <c r="L55" s="975"/>
      <c r="M55" s="975"/>
      <c r="N55" s="975"/>
      <c r="O55" s="975"/>
      <c r="P55" s="975"/>
      <c r="Q55" s="976"/>
      <c r="R55" s="708">
        <f ca="1">SUM(C55:Q55)</f>
        <v>359.36642914380877</v>
      </c>
    </row>
    <row r="56" spans="1:18" ht="15.75" thickBot="1">
      <c r="A56" s="805" t="s">
        <v>896</v>
      </c>
      <c r="B56" s="818"/>
      <c r="C56" s="709">
        <f ca="1">SUM(C54:C55)</f>
        <v>148.31662115375377</v>
      </c>
      <c r="D56" s="709">
        <f t="shared" ref="D56:Q56" ca="1" si="7">SUM(D54:D55)</f>
        <v>0</v>
      </c>
      <c r="E56" s="709">
        <f t="shared" si="7"/>
        <v>318.79325684569619</v>
      </c>
      <c r="F56" s="709">
        <f t="shared" si="7"/>
        <v>1.10987964916197</v>
      </c>
      <c r="G56" s="709">
        <f t="shared" si="7"/>
        <v>533.63406347704745</v>
      </c>
      <c r="H56" s="709">
        <f t="shared" si="7"/>
        <v>0</v>
      </c>
      <c r="I56" s="709">
        <f t="shared" si="7"/>
        <v>0</v>
      </c>
      <c r="J56" s="709">
        <f t="shared" si="7"/>
        <v>0</v>
      </c>
      <c r="K56" s="709">
        <f t="shared" si="7"/>
        <v>14.760794317735179</v>
      </c>
      <c r="L56" s="709">
        <f t="shared" si="7"/>
        <v>0</v>
      </c>
      <c r="M56" s="709">
        <f t="shared" si="7"/>
        <v>0</v>
      </c>
      <c r="N56" s="709">
        <f t="shared" si="7"/>
        <v>0</v>
      </c>
      <c r="O56" s="709">
        <f t="shared" si="7"/>
        <v>0</v>
      </c>
      <c r="P56" s="709">
        <f t="shared" si="7"/>
        <v>0</v>
      </c>
      <c r="Q56" s="710">
        <f t="shared" si="7"/>
        <v>0</v>
      </c>
      <c r="R56" s="711">
        <f ca="1">SUM(R54:R55)</f>
        <v>1016.6146154433945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2581.2712520509517</v>
      </c>
      <c r="D61" s="717">
        <f t="shared" ref="D61:Q61" ca="1" si="8">D46+D52+D56</f>
        <v>0</v>
      </c>
      <c r="E61" s="717">
        <f t="shared" ca="1" si="8"/>
        <v>6221.95274682728</v>
      </c>
      <c r="F61" s="717">
        <f t="shared" si="8"/>
        <v>312.75207786762888</v>
      </c>
      <c r="G61" s="717">
        <f t="shared" ca="1" si="8"/>
        <v>7714.6177095755384</v>
      </c>
      <c r="H61" s="717">
        <f t="shared" si="8"/>
        <v>24650.644361647053</v>
      </c>
      <c r="I61" s="717">
        <f t="shared" si="8"/>
        <v>3577.9508466307652</v>
      </c>
      <c r="J61" s="717">
        <f t="shared" si="8"/>
        <v>0</v>
      </c>
      <c r="K61" s="717">
        <f t="shared" si="8"/>
        <v>220.20002444018229</v>
      </c>
      <c r="L61" s="717">
        <f t="shared" si="8"/>
        <v>0</v>
      </c>
      <c r="M61" s="717">
        <f t="shared" ca="1" si="8"/>
        <v>0</v>
      </c>
      <c r="N61" s="717">
        <f t="shared" si="8"/>
        <v>0</v>
      </c>
      <c r="O61" s="717">
        <f t="shared" ca="1" si="8"/>
        <v>0</v>
      </c>
      <c r="P61" s="717">
        <f t="shared" si="8"/>
        <v>0</v>
      </c>
      <c r="Q61" s="717">
        <f t="shared" si="8"/>
        <v>0</v>
      </c>
      <c r="R61" s="717">
        <f ca="1">R46+R52+R56</f>
        <v>45279.389019039401</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0.1223212531297599</v>
      </c>
      <c r="D63" s="761">
        <f t="shared" ca="1" si="9"/>
        <v>0</v>
      </c>
      <c r="E63" s="977">
        <f t="shared" ca="1" si="9"/>
        <v>0.20199999999999999</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998.43337037727451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5616</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6607.0588235294117</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2808</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7020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9422.4333703772754</v>
      </c>
      <c r="C78" s="732">
        <f>SUM(C72:C77)</f>
        <v>0</v>
      </c>
      <c r="D78" s="733">
        <f t="shared" ref="D78:H78" si="10">SUM(D76:D77)</f>
        <v>0</v>
      </c>
      <c r="E78" s="733">
        <f t="shared" si="10"/>
        <v>0</v>
      </c>
      <c r="F78" s="733">
        <f t="shared" si="10"/>
        <v>0</v>
      </c>
      <c r="G78" s="733">
        <f t="shared" si="10"/>
        <v>0</v>
      </c>
      <c r="H78" s="733">
        <f t="shared" si="10"/>
        <v>0</v>
      </c>
      <c r="I78" s="733">
        <f>SUM(I76:I77)</f>
        <v>0</v>
      </c>
      <c r="J78" s="733">
        <f>SUM(J76:J77)</f>
        <v>13627.058823529413</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8022.8571428571431</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9438.6554621848754</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8022.8571428571431</v>
      </c>
      <c r="C90" s="732">
        <f>SUM(C87:C89)</f>
        <v>0</v>
      </c>
      <c r="D90" s="732">
        <f t="shared" ref="D90:H90" si="12">SUM(D87:D89)</f>
        <v>0</v>
      </c>
      <c r="E90" s="732">
        <f t="shared" si="12"/>
        <v>0</v>
      </c>
      <c r="F90" s="732">
        <f t="shared" si="12"/>
        <v>0</v>
      </c>
      <c r="G90" s="732">
        <f t="shared" si="12"/>
        <v>0</v>
      </c>
      <c r="H90" s="732">
        <f t="shared" si="12"/>
        <v>0</v>
      </c>
      <c r="I90" s="732">
        <f>SUM(I87:I89)</f>
        <v>0</v>
      </c>
      <c r="J90" s="732">
        <f>SUM(J87:J89)</f>
        <v>9438.6554621848754</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14036.444783661</v>
      </c>
      <c r="C4" s="449">
        <f>huishoudens!C8</f>
        <v>0</v>
      </c>
      <c r="D4" s="449">
        <f>huishoudens!D8</f>
        <v>24347.247366820488</v>
      </c>
      <c r="E4" s="449">
        <f>huishoudens!E8</f>
        <v>752.81687507748768</v>
      </c>
      <c r="F4" s="449">
        <f>huishoudens!F8</f>
        <v>25696.94905947995</v>
      </c>
      <c r="G4" s="449">
        <f>huishoudens!G8</f>
        <v>0</v>
      </c>
      <c r="H4" s="449">
        <f>huishoudens!H8</f>
        <v>0</v>
      </c>
      <c r="I4" s="449">
        <f>huishoudens!I8</f>
        <v>0</v>
      </c>
      <c r="J4" s="449">
        <f>huishoudens!J8</f>
        <v>578.63014367389633</v>
      </c>
      <c r="K4" s="449">
        <f>huishoudens!K8</f>
        <v>0</v>
      </c>
      <c r="L4" s="449">
        <f>huishoudens!L8</f>
        <v>0</v>
      </c>
      <c r="M4" s="449">
        <f>huishoudens!M8</f>
        <v>0</v>
      </c>
      <c r="N4" s="449">
        <f>huishoudens!N8</f>
        <v>3669.8499131264375</v>
      </c>
      <c r="O4" s="449">
        <f>huishoudens!O8</f>
        <v>37.520000000000003</v>
      </c>
      <c r="P4" s="450">
        <f>huishoudens!P8</f>
        <v>76.266666666666666</v>
      </c>
      <c r="Q4" s="451">
        <f>SUM(B4:P4)</f>
        <v>69195.724808505925</v>
      </c>
    </row>
    <row r="5" spans="1:17">
      <c r="A5" s="448" t="s">
        <v>155</v>
      </c>
      <c r="B5" s="449">
        <f ca="1">tertiair!B16</f>
        <v>4594.7531989811359</v>
      </c>
      <c r="C5" s="449">
        <f ca="1">tertiair!C16</f>
        <v>0</v>
      </c>
      <c r="D5" s="449">
        <f ca="1">tertiair!D16</f>
        <v>4487.5799567783215</v>
      </c>
      <c r="E5" s="449">
        <f>tertiair!E16</f>
        <v>115.39339298033207</v>
      </c>
      <c r="F5" s="449">
        <f ca="1">tertiair!F16</f>
        <v>823.73039016880443</v>
      </c>
      <c r="G5" s="449">
        <f>tertiair!G16</f>
        <v>0</v>
      </c>
      <c r="H5" s="449">
        <f>tertiair!H16</f>
        <v>0</v>
      </c>
      <c r="I5" s="449">
        <f>tertiair!I16</f>
        <v>0</v>
      </c>
      <c r="J5" s="449">
        <f>tertiair!J16</f>
        <v>0</v>
      </c>
      <c r="K5" s="449">
        <f>tertiair!K16</f>
        <v>0</v>
      </c>
      <c r="L5" s="449">
        <f ca="1">tertiair!L16</f>
        <v>0</v>
      </c>
      <c r="M5" s="449">
        <f>tertiair!M16</f>
        <v>0</v>
      </c>
      <c r="N5" s="449">
        <f ca="1">tertiair!N16</f>
        <v>150.4825424429352</v>
      </c>
      <c r="O5" s="449">
        <f>tertiair!O16</f>
        <v>0</v>
      </c>
      <c r="P5" s="450">
        <f>tertiair!P16</f>
        <v>19.066666666666666</v>
      </c>
      <c r="Q5" s="448">
        <f t="shared" ref="Q5:Q14" ca="1" si="0">SUM(B5:P5)</f>
        <v>10191.006148018196</v>
      </c>
    </row>
    <row r="6" spans="1:17">
      <c r="A6" s="448" t="s">
        <v>193</v>
      </c>
      <c r="B6" s="449">
        <f>'openbare verlichting'!B8</f>
        <v>508.98599999999999</v>
      </c>
      <c r="C6" s="449"/>
      <c r="D6" s="449"/>
      <c r="E6" s="449"/>
      <c r="F6" s="449"/>
      <c r="G6" s="449"/>
      <c r="H6" s="449"/>
      <c r="I6" s="449"/>
      <c r="J6" s="449"/>
      <c r="K6" s="449"/>
      <c r="L6" s="449"/>
      <c r="M6" s="449"/>
      <c r="N6" s="449"/>
      <c r="O6" s="449"/>
      <c r="P6" s="450"/>
      <c r="Q6" s="448">
        <f t="shared" si="0"/>
        <v>508.98599999999999</v>
      </c>
    </row>
    <row r="7" spans="1:17">
      <c r="A7" s="448" t="s">
        <v>111</v>
      </c>
      <c r="B7" s="449">
        <f>landbouw!B8</f>
        <v>466.88661045427818</v>
      </c>
      <c r="C7" s="449">
        <f>landbouw!C8</f>
        <v>8022.8571428571431</v>
      </c>
      <c r="D7" s="449">
        <f>landbouw!D8</f>
        <v>250.65986928399923</v>
      </c>
      <c r="E7" s="449">
        <f>landbouw!E8</f>
        <v>4.8893376615064756</v>
      </c>
      <c r="F7" s="449">
        <f>landbouw!F8</f>
        <v>1998.6294512248967</v>
      </c>
      <c r="G7" s="449">
        <f>landbouw!G8</f>
        <v>0</v>
      </c>
      <c r="H7" s="449">
        <f>landbouw!H8</f>
        <v>0</v>
      </c>
      <c r="I7" s="449">
        <f>landbouw!I8</f>
        <v>0</v>
      </c>
      <c r="J7" s="449">
        <f>landbouw!J8</f>
        <v>41.6971590896474</v>
      </c>
      <c r="K7" s="449">
        <f>landbouw!K8</f>
        <v>0</v>
      </c>
      <c r="L7" s="449">
        <f>landbouw!L8</f>
        <v>0</v>
      </c>
      <c r="M7" s="449">
        <f>landbouw!M8</f>
        <v>0</v>
      </c>
      <c r="N7" s="449">
        <f>landbouw!N8</f>
        <v>0</v>
      </c>
      <c r="O7" s="449">
        <f>landbouw!O8</f>
        <v>0</v>
      </c>
      <c r="P7" s="450">
        <f>landbouw!P8</f>
        <v>0</v>
      </c>
      <c r="Q7" s="448">
        <f t="shared" si="0"/>
        <v>10785.619570571473</v>
      </c>
    </row>
    <row r="8" spans="1:17">
      <c r="A8" s="448" t="s">
        <v>643</v>
      </c>
      <c r="B8" s="449">
        <f>industrie!B18</f>
        <v>744.64965502774805</v>
      </c>
      <c r="C8" s="449">
        <f>industrie!C18</f>
        <v>0</v>
      </c>
      <c r="D8" s="449">
        <f>industrie!D18</f>
        <v>384.55532636650128</v>
      </c>
      <c r="E8" s="449">
        <f>industrie!E18</f>
        <v>9.8798316062764897</v>
      </c>
      <c r="F8" s="449">
        <f>industrie!F18</f>
        <v>374.39038592611473</v>
      </c>
      <c r="G8" s="449">
        <f>industrie!G18</f>
        <v>0</v>
      </c>
      <c r="H8" s="449">
        <f>industrie!H18</f>
        <v>0</v>
      </c>
      <c r="I8" s="449">
        <f>industrie!I18</f>
        <v>0</v>
      </c>
      <c r="J8" s="449">
        <f>industrie!J18</f>
        <v>1.7066645816040318</v>
      </c>
      <c r="K8" s="449">
        <f>industrie!K18</f>
        <v>0</v>
      </c>
      <c r="L8" s="449">
        <f>industrie!L18</f>
        <v>0</v>
      </c>
      <c r="M8" s="449">
        <f>industrie!M18</f>
        <v>0</v>
      </c>
      <c r="N8" s="449">
        <f>industrie!N18</f>
        <v>35.238636510269174</v>
      </c>
      <c r="O8" s="449">
        <f>industrie!O18</f>
        <v>0</v>
      </c>
      <c r="P8" s="450">
        <f>industrie!P18</f>
        <v>0</v>
      </c>
      <c r="Q8" s="448">
        <f t="shared" si="0"/>
        <v>1550.4205000185136</v>
      </c>
    </row>
    <row r="9" spans="1:17" s="454" customFormat="1">
      <c r="A9" s="452" t="s">
        <v>562</v>
      </c>
      <c r="B9" s="453">
        <f>transport!B14</f>
        <v>1.3160842231925971</v>
      </c>
      <c r="C9" s="453">
        <f>transport!C14</f>
        <v>0</v>
      </c>
      <c r="D9" s="453">
        <f>transport!D14</f>
        <v>4.1791816266875177</v>
      </c>
      <c r="E9" s="453">
        <f>transport!E14</f>
        <v>494.78302024104431</v>
      </c>
      <c r="F9" s="453">
        <f>transport!F14</f>
        <v>0</v>
      </c>
      <c r="G9" s="453">
        <f>transport!G14</f>
        <v>91516.000885363479</v>
      </c>
      <c r="H9" s="453">
        <f>transport!H14</f>
        <v>14369.280508557291</v>
      </c>
      <c r="I9" s="453">
        <f>transport!I14</f>
        <v>0</v>
      </c>
      <c r="J9" s="453">
        <f>transport!J14</f>
        <v>0</v>
      </c>
      <c r="K9" s="453">
        <f>transport!K14</f>
        <v>0</v>
      </c>
      <c r="L9" s="453">
        <f>transport!L14</f>
        <v>0</v>
      </c>
      <c r="M9" s="453">
        <f>transport!M14</f>
        <v>4603.780971696985</v>
      </c>
      <c r="N9" s="453">
        <f>transport!N14</f>
        <v>0</v>
      </c>
      <c r="O9" s="453">
        <f>transport!O14</f>
        <v>0</v>
      </c>
      <c r="P9" s="453">
        <f>transport!P14</f>
        <v>0</v>
      </c>
      <c r="Q9" s="452">
        <f>SUM(B9:P9)</f>
        <v>110989.34065170867</v>
      </c>
    </row>
    <row r="10" spans="1:17">
      <c r="A10" s="448" t="s">
        <v>552</v>
      </c>
      <c r="B10" s="449">
        <f>transport!B54</f>
        <v>3.7268829213752719</v>
      </c>
      <c r="C10" s="449">
        <f>transport!C54</f>
        <v>0</v>
      </c>
      <c r="D10" s="449">
        <f>transport!D54</f>
        <v>0</v>
      </c>
      <c r="E10" s="449">
        <f>transport!E54</f>
        <v>0</v>
      </c>
      <c r="F10" s="449">
        <f>transport!F54</f>
        <v>0</v>
      </c>
      <c r="G10" s="449">
        <f>transport!G54</f>
        <v>808.50983241573169</v>
      </c>
      <c r="H10" s="449">
        <f>transport!H54</f>
        <v>0</v>
      </c>
      <c r="I10" s="449">
        <f>transport!I54</f>
        <v>0</v>
      </c>
      <c r="J10" s="449">
        <f>transport!J54</f>
        <v>0</v>
      </c>
      <c r="K10" s="449">
        <f>transport!K54</f>
        <v>0</v>
      </c>
      <c r="L10" s="449">
        <f>transport!L54</f>
        <v>0</v>
      </c>
      <c r="M10" s="449">
        <f>transport!M54</f>
        <v>34.617285336433952</v>
      </c>
      <c r="N10" s="449">
        <f>transport!N54</f>
        <v>0</v>
      </c>
      <c r="O10" s="449">
        <f>transport!O54</f>
        <v>0</v>
      </c>
      <c r="P10" s="450">
        <f>transport!P54</f>
        <v>0</v>
      </c>
      <c r="Q10" s="448">
        <f t="shared" si="0"/>
        <v>846.8540006735409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745.63057162868893</v>
      </c>
      <c r="C14" s="456"/>
      <c r="D14" s="456">
        <f>'SEAP template'!E25</f>
        <v>1327.52457054618</v>
      </c>
      <c r="E14" s="456"/>
      <c r="F14" s="456"/>
      <c r="G14" s="456"/>
      <c r="H14" s="456"/>
      <c r="I14" s="456"/>
      <c r="J14" s="456"/>
      <c r="K14" s="456"/>
      <c r="L14" s="456"/>
      <c r="M14" s="456"/>
      <c r="N14" s="456"/>
      <c r="O14" s="456"/>
      <c r="P14" s="457"/>
      <c r="Q14" s="448">
        <f t="shared" si="0"/>
        <v>2073.1551421748691</v>
      </c>
    </row>
    <row r="15" spans="1:17" s="461" customFormat="1">
      <c r="A15" s="458" t="s">
        <v>556</v>
      </c>
      <c r="B15" s="459">
        <f ca="1">SUM(B4:B14)</f>
        <v>21102.393786897421</v>
      </c>
      <c r="C15" s="459">
        <f t="shared" ref="C15:Q15" ca="1" si="1">SUM(C4:C14)</f>
        <v>8022.8571428571431</v>
      </c>
      <c r="D15" s="459">
        <f t="shared" ca="1" si="1"/>
        <v>30801.746271422177</v>
      </c>
      <c r="E15" s="459">
        <f t="shared" si="1"/>
        <v>1377.7624575666471</v>
      </c>
      <c r="F15" s="459">
        <f t="shared" ca="1" si="1"/>
        <v>28893.699286799765</v>
      </c>
      <c r="G15" s="459">
        <f t="shared" si="1"/>
        <v>92324.510717779209</v>
      </c>
      <c r="H15" s="459">
        <f t="shared" si="1"/>
        <v>14369.280508557291</v>
      </c>
      <c r="I15" s="459">
        <f t="shared" si="1"/>
        <v>0</v>
      </c>
      <c r="J15" s="459">
        <f t="shared" si="1"/>
        <v>622.03396734514774</v>
      </c>
      <c r="K15" s="459">
        <f t="shared" si="1"/>
        <v>0</v>
      </c>
      <c r="L15" s="459">
        <f t="shared" ca="1" si="1"/>
        <v>0</v>
      </c>
      <c r="M15" s="459">
        <f t="shared" si="1"/>
        <v>4638.3982570334192</v>
      </c>
      <c r="N15" s="459">
        <f t="shared" ca="1" si="1"/>
        <v>3855.5710920796419</v>
      </c>
      <c r="O15" s="459">
        <f t="shared" si="1"/>
        <v>37.520000000000003</v>
      </c>
      <c r="P15" s="459">
        <f t="shared" si="1"/>
        <v>95.333333333333329</v>
      </c>
      <c r="Q15" s="459">
        <f t="shared" ca="1" si="1"/>
        <v>206141.10682167119</v>
      </c>
    </row>
    <row r="17" spans="1:17">
      <c r="A17" s="462" t="s">
        <v>557</v>
      </c>
      <c r="B17" s="766">
        <f ca="1">huishoudens!B10</f>
        <v>0.12232125312975989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1716.955515424095</v>
      </c>
      <c r="C22" s="449">
        <f t="shared" ref="C22:C32" ca="1" si="3">C4*$C$17</f>
        <v>0</v>
      </c>
      <c r="D22" s="449">
        <f t="shared" ref="D22:D32" si="4">D4*$D$17</f>
        <v>4918.1439680977392</v>
      </c>
      <c r="E22" s="449">
        <f t="shared" ref="E22:E32" si="5">E4*$E$17</f>
        <v>170.8894306425897</v>
      </c>
      <c r="F22" s="449">
        <f t="shared" ref="F22:F32" si="6">F4*$F$17</f>
        <v>6861.0853988811468</v>
      </c>
      <c r="G22" s="449">
        <f t="shared" ref="G22:G32" si="7">G4*$G$17</f>
        <v>0</v>
      </c>
      <c r="H22" s="449">
        <f t="shared" ref="H22:H32" si="8">H4*$H$17</f>
        <v>0</v>
      </c>
      <c r="I22" s="449">
        <f t="shared" ref="I22:I32" si="9">I4*$I$17</f>
        <v>0</v>
      </c>
      <c r="J22" s="449">
        <f t="shared" ref="J22:J32" si="10">J4*$J$17</f>
        <v>204.83507086055928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13871.90938390613</v>
      </c>
    </row>
    <row r="23" spans="1:17">
      <c r="A23" s="448" t="s">
        <v>155</v>
      </c>
      <c r="B23" s="449">
        <f t="shared" ca="1" si="2"/>
        <v>562.03596912134549</v>
      </c>
      <c r="C23" s="449">
        <f t="shared" ca="1" si="3"/>
        <v>0</v>
      </c>
      <c r="D23" s="449">
        <f t="shared" ca="1" si="4"/>
        <v>906.49115126922095</v>
      </c>
      <c r="E23" s="449">
        <f t="shared" si="5"/>
        <v>26.194300206535381</v>
      </c>
      <c r="F23" s="449">
        <f t="shared" ca="1" si="6"/>
        <v>219.9360141750708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1714.6574347721726</v>
      </c>
    </row>
    <row r="24" spans="1:17">
      <c r="A24" s="448" t="s">
        <v>193</v>
      </c>
      <c r="B24" s="449">
        <f t="shared" ca="1" si="2"/>
        <v>62.259805345503963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62.259805345503963</v>
      </c>
    </row>
    <row r="25" spans="1:17">
      <c r="A25" s="448" t="s">
        <v>111</v>
      </c>
      <c r="B25" s="449">
        <f t="shared" ca="1" si="2"/>
        <v>57.110155260273359</v>
      </c>
      <c r="C25" s="449">
        <f t="shared" ca="1" si="3"/>
        <v>0</v>
      </c>
      <c r="D25" s="449">
        <f t="shared" si="4"/>
        <v>50.633293595367846</v>
      </c>
      <c r="E25" s="449">
        <f t="shared" si="5"/>
        <v>1.10987964916197</v>
      </c>
      <c r="F25" s="449">
        <f t="shared" si="6"/>
        <v>533.63406347704745</v>
      </c>
      <c r="G25" s="449">
        <f t="shared" si="7"/>
        <v>0</v>
      </c>
      <c r="H25" s="449">
        <f t="shared" si="8"/>
        <v>0</v>
      </c>
      <c r="I25" s="449">
        <f t="shared" si="9"/>
        <v>0</v>
      </c>
      <c r="J25" s="449">
        <f t="shared" si="10"/>
        <v>14.760794317735179</v>
      </c>
      <c r="K25" s="449">
        <f t="shared" si="11"/>
        <v>0</v>
      </c>
      <c r="L25" s="449">
        <f t="shared" si="12"/>
        <v>0</v>
      </c>
      <c r="M25" s="449">
        <f t="shared" si="13"/>
        <v>0</v>
      </c>
      <c r="N25" s="449">
        <f t="shared" si="14"/>
        <v>0</v>
      </c>
      <c r="O25" s="449">
        <f t="shared" si="15"/>
        <v>0</v>
      </c>
      <c r="P25" s="450">
        <f t="shared" si="16"/>
        <v>0</v>
      </c>
      <c r="Q25" s="448">
        <f t="shared" ca="1" si="17"/>
        <v>657.24818629958577</v>
      </c>
    </row>
    <row r="26" spans="1:17">
      <c r="A26" s="448" t="s">
        <v>643</v>
      </c>
      <c r="B26" s="449">
        <f t="shared" ca="1" si="2"/>
        <v>91.086478945637552</v>
      </c>
      <c r="C26" s="449">
        <f t="shared" ca="1" si="3"/>
        <v>0</v>
      </c>
      <c r="D26" s="449">
        <f t="shared" si="4"/>
        <v>77.680175926033257</v>
      </c>
      <c r="E26" s="449">
        <f t="shared" si="5"/>
        <v>2.2427217746247634</v>
      </c>
      <c r="F26" s="449">
        <f t="shared" si="6"/>
        <v>99.962233042272644</v>
      </c>
      <c r="G26" s="449">
        <f t="shared" si="7"/>
        <v>0</v>
      </c>
      <c r="H26" s="449">
        <f t="shared" si="8"/>
        <v>0</v>
      </c>
      <c r="I26" s="449">
        <f t="shared" si="9"/>
        <v>0</v>
      </c>
      <c r="J26" s="449">
        <f t="shared" si="10"/>
        <v>0.6041592618878272</v>
      </c>
      <c r="K26" s="449">
        <f t="shared" si="11"/>
        <v>0</v>
      </c>
      <c r="L26" s="449">
        <f t="shared" si="12"/>
        <v>0</v>
      </c>
      <c r="M26" s="449">
        <f t="shared" si="13"/>
        <v>0</v>
      </c>
      <c r="N26" s="449">
        <f t="shared" si="14"/>
        <v>0</v>
      </c>
      <c r="O26" s="449">
        <f t="shared" si="15"/>
        <v>0</v>
      </c>
      <c r="P26" s="450">
        <f t="shared" si="16"/>
        <v>0</v>
      </c>
      <c r="Q26" s="448">
        <f t="shared" ca="1" si="17"/>
        <v>271.57576895045605</v>
      </c>
    </row>
    <row r="27" spans="1:17" s="454" customFormat="1">
      <c r="A27" s="452" t="s">
        <v>562</v>
      </c>
      <c r="B27" s="760">
        <f t="shared" ca="1" si="2"/>
        <v>0.16098507140522508</v>
      </c>
      <c r="C27" s="453">
        <f t="shared" ca="1" si="3"/>
        <v>0</v>
      </c>
      <c r="D27" s="453">
        <f t="shared" si="4"/>
        <v>0.84419468859087865</v>
      </c>
      <c r="E27" s="453">
        <f t="shared" si="5"/>
        <v>112.31574559471706</v>
      </c>
      <c r="F27" s="453">
        <f t="shared" si="6"/>
        <v>0</v>
      </c>
      <c r="G27" s="453">
        <f t="shared" si="7"/>
        <v>24434.772236392051</v>
      </c>
      <c r="H27" s="453">
        <f t="shared" si="8"/>
        <v>3577.9508466307652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28126.044008377532</v>
      </c>
    </row>
    <row r="28" spans="1:17">
      <c r="A28" s="448" t="s">
        <v>552</v>
      </c>
      <c r="B28" s="449">
        <f t="shared" ca="1" si="2"/>
        <v>0.45587698921052366</v>
      </c>
      <c r="C28" s="449">
        <f t="shared" ca="1" si="3"/>
        <v>0</v>
      </c>
      <c r="D28" s="449">
        <f t="shared" si="4"/>
        <v>0</v>
      </c>
      <c r="E28" s="449">
        <f t="shared" si="5"/>
        <v>0</v>
      </c>
      <c r="F28" s="449">
        <f t="shared" si="6"/>
        <v>0</v>
      </c>
      <c r="G28" s="449">
        <f t="shared" si="7"/>
        <v>215.87212525500038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216.32800224421092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91.206465893480413</v>
      </c>
      <c r="C32" s="449">
        <f t="shared" ca="1" si="3"/>
        <v>0</v>
      </c>
      <c r="D32" s="449">
        <f t="shared" si="4"/>
        <v>268.15996325032836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359.36642914380877</v>
      </c>
    </row>
    <row r="33" spans="1:17" s="461" customFormat="1">
      <c r="A33" s="458" t="s">
        <v>556</v>
      </c>
      <c r="B33" s="459">
        <f ca="1">SUM(B22:B32)</f>
        <v>2581.2712520509517</v>
      </c>
      <c r="C33" s="459">
        <f t="shared" ref="C33:Q33" ca="1" si="19">SUM(C22:C32)</f>
        <v>0</v>
      </c>
      <c r="D33" s="459">
        <f t="shared" ca="1" si="19"/>
        <v>6221.95274682728</v>
      </c>
      <c r="E33" s="459">
        <f t="shared" si="19"/>
        <v>312.75207786762888</v>
      </c>
      <c r="F33" s="459">
        <f t="shared" ca="1" si="19"/>
        <v>7714.6177095755384</v>
      </c>
      <c r="G33" s="459">
        <f t="shared" si="19"/>
        <v>24650.644361647053</v>
      </c>
      <c r="H33" s="459">
        <f t="shared" si="19"/>
        <v>3577.9508466307652</v>
      </c>
      <c r="I33" s="459">
        <f t="shared" si="19"/>
        <v>0</v>
      </c>
      <c r="J33" s="459">
        <f t="shared" si="19"/>
        <v>220.20002444018229</v>
      </c>
      <c r="K33" s="459">
        <f t="shared" si="19"/>
        <v>0</v>
      </c>
      <c r="L33" s="459">
        <f t="shared" ca="1" si="19"/>
        <v>0</v>
      </c>
      <c r="M33" s="459">
        <f t="shared" si="19"/>
        <v>0</v>
      </c>
      <c r="N33" s="459">
        <f t="shared" ca="1" si="19"/>
        <v>0</v>
      </c>
      <c r="O33" s="459">
        <f t="shared" si="19"/>
        <v>0</v>
      </c>
      <c r="P33" s="459">
        <f t="shared" si="19"/>
        <v>0</v>
      </c>
      <c r="Q33" s="459">
        <f t="shared" ca="1" si="19"/>
        <v>45279.389019039401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998.43337037727451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5616</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6607.0588235294117</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2808</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7020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9422.4333703772754</v>
      </c>
      <c r="C10" s="1012">
        <f>SUM(C4:C9)</f>
        <v>0</v>
      </c>
      <c r="D10" s="1012">
        <f t="shared" ref="D10:H10" si="0">SUM(D8:D9)</f>
        <v>0</v>
      </c>
      <c r="E10" s="1012">
        <f t="shared" si="0"/>
        <v>0</v>
      </c>
      <c r="F10" s="1012">
        <f t="shared" si="0"/>
        <v>0</v>
      </c>
      <c r="G10" s="1012">
        <f t="shared" si="0"/>
        <v>0</v>
      </c>
      <c r="H10" s="1012">
        <f t="shared" si="0"/>
        <v>0</v>
      </c>
      <c r="I10" s="1012">
        <f>SUM(I8:I9)</f>
        <v>0</v>
      </c>
      <c r="J10" s="1012">
        <f>SUM(J8:J9)</f>
        <v>13627.058823529413</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0.12232125312975989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8022.8571428571431</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9438.6554621848754</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8022.8571428571431</v>
      </c>
      <c r="C20" s="1012">
        <f>SUM(C17:C19)</f>
        <v>0</v>
      </c>
      <c r="D20" s="1012">
        <f t="shared" ref="D20:H20" si="2">SUM(D17:D19)</f>
        <v>0</v>
      </c>
      <c r="E20" s="1012">
        <f t="shared" si="2"/>
        <v>0</v>
      </c>
      <c r="F20" s="1012">
        <f t="shared" si="2"/>
        <v>0</v>
      </c>
      <c r="G20" s="1012">
        <f t="shared" si="2"/>
        <v>0</v>
      </c>
      <c r="H20" s="1012">
        <f t="shared" si="2"/>
        <v>0</v>
      </c>
      <c r="I20" s="1012">
        <f>SUM(I17:I19)</f>
        <v>0</v>
      </c>
      <c r="J20" s="1012">
        <f>SUM(J17:J19)</f>
        <v>9438.6554621848754</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0.12232125312975989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0.12232125312975989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0.12232125312975989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2944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1855</v>
      </c>
      <c r="C14" s="326"/>
      <c r="D14" s="326"/>
      <c r="E14" s="326"/>
      <c r="F14" s="326"/>
    </row>
    <row r="15" spans="1:6">
      <c r="A15" s="1282" t="s">
        <v>183</v>
      </c>
      <c r="B15" s="1283">
        <v>827</v>
      </c>
      <c r="C15" s="326"/>
      <c r="D15" s="326"/>
      <c r="E15" s="326"/>
      <c r="F15" s="326"/>
    </row>
    <row r="16" spans="1:6">
      <c r="A16" s="1282" t="s">
        <v>6</v>
      </c>
      <c r="B16" s="1283">
        <v>169</v>
      </c>
      <c r="C16" s="326"/>
      <c r="D16" s="326"/>
      <c r="E16" s="326"/>
      <c r="F16" s="326"/>
    </row>
    <row r="17" spans="1:6">
      <c r="A17" s="1282" t="s">
        <v>7</v>
      </c>
      <c r="B17" s="1283">
        <v>495</v>
      </c>
      <c r="C17" s="326"/>
      <c r="D17" s="326"/>
      <c r="E17" s="326"/>
      <c r="F17" s="326"/>
    </row>
    <row r="18" spans="1:6">
      <c r="A18" s="1282" t="s">
        <v>8</v>
      </c>
      <c r="B18" s="1283">
        <v>471</v>
      </c>
      <c r="C18" s="326"/>
      <c r="D18" s="326"/>
      <c r="E18" s="326"/>
      <c r="F18" s="326"/>
    </row>
    <row r="19" spans="1:6">
      <c r="A19" s="1282" t="s">
        <v>9</v>
      </c>
      <c r="B19" s="1283">
        <v>572</v>
      </c>
      <c r="C19" s="326"/>
      <c r="D19" s="326"/>
      <c r="E19" s="326"/>
      <c r="F19" s="326"/>
    </row>
    <row r="20" spans="1:6">
      <c r="A20" s="1282" t="s">
        <v>10</v>
      </c>
      <c r="B20" s="1283">
        <v>398</v>
      </c>
      <c r="C20" s="326"/>
      <c r="D20" s="326"/>
      <c r="E20" s="326"/>
      <c r="F20" s="326"/>
    </row>
    <row r="21" spans="1:6">
      <c r="A21" s="1282" t="s">
        <v>11</v>
      </c>
      <c r="B21" s="1283">
        <v>0</v>
      </c>
      <c r="C21" s="326"/>
      <c r="D21" s="326"/>
      <c r="E21" s="326"/>
      <c r="F21" s="326"/>
    </row>
    <row r="22" spans="1:6">
      <c r="A22" s="1282" t="s">
        <v>12</v>
      </c>
      <c r="B22" s="1283">
        <v>4125</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26</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107</v>
      </c>
      <c r="C29" s="332"/>
      <c r="D29" s="332"/>
      <c r="E29" s="332"/>
      <c r="F29" s="332"/>
    </row>
    <row r="30" spans="1:6">
      <c r="A30" s="1277" t="s">
        <v>979</v>
      </c>
      <c r="B30" s="1286">
        <v>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4</v>
      </c>
      <c r="F38" s="1283">
        <v>4238.3184341862998</v>
      </c>
    </row>
    <row r="39" spans="1:6">
      <c r="A39" s="1282" t="s">
        <v>29</v>
      </c>
      <c r="B39" s="1282" t="s">
        <v>30</v>
      </c>
      <c r="C39" s="1283">
        <v>1453</v>
      </c>
      <c r="D39" s="1283">
        <v>26992513.710444</v>
      </c>
      <c r="E39" s="1283">
        <v>2791</v>
      </c>
      <c r="F39" s="1283">
        <v>13146039.0330198</v>
      </c>
    </row>
    <row r="40" spans="1:6">
      <c r="A40" s="1282" t="s">
        <v>29</v>
      </c>
      <c r="B40" s="1282" t="s">
        <v>28</v>
      </c>
      <c r="C40" s="1283">
        <v>0</v>
      </c>
      <c r="D40" s="1283">
        <v>0</v>
      </c>
      <c r="E40" s="1283">
        <v>0</v>
      </c>
      <c r="F40" s="1283">
        <v>0</v>
      </c>
    </row>
    <row r="41" spans="1:6">
      <c r="A41" s="1282" t="s">
        <v>31</v>
      </c>
      <c r="B41" s="1282" t="s">
        <v>32</v>
      </c>
      <c r="C41" s="1283">
        <v>6</v>
      </c>
      <c r="D41" s="1283">
        <v>108572.889551268</v>
      </c>
      <c r="E41" s="1283">
        <v>42</v>
      </c>
      <c r="F41" s="1283">
        <v>403509.30644643703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10</v>
      </c>
      <c r="D48" s="1283">
        <v>153161.324719828</v>
      </c>
      <c r="E48" s="1283">
        <v>22</v>
      </c>
      <c r="F48" s="1283">
        <v>101438.915358076</v>
      </c>
    </row>
    <row r="49" spans="1:6">
      <c r="A49" s="1282" t="s">
        <v>31</v>
      </c>
      <c r="B49" s="1282" t="s">
        <v>39</v>
      </c>
      <c r="C49" s="1283">
        <v>0</v>
      </c>
      <c r="D49" s="1283">
        <v>0</v>
      </c>
      <c r="E49" s="1283">
        <v>0</v>
      </c>
      <c r="F49" s="1283">
        <v>0</v>
      </c>
    </row>
    <row r="50" spans="1:6">
      <c r="A50" s="1282" t="s">
        <v>31</v>
      </c>
      <c r="B50" s="1282" t="s">
        <v>40</v>
      </c>
      <c r="C50" s="1283">
        <v>4</v>
      </c>
      <c r="D50" s="1283">
        <v>164602.067731677</v>
      </c>
      <c r="E50" s="1283">
        <v>9</v>
      </c>
      <c r="F50" s="1283">
        <v>239701.43322323501</v>
      </c>
    </row>
    <row r="51" spans="1:6">
      <c r="A51" s="1282" t="s">
        <v>41</v>
      </c>
      <c r="B51" s="1282" t="s">
        <v>42</v>
      </c>
      <c r="C51" s="1283">
        <v>10</v>
      </c>
      <c r="D51" s="1283">
        <v>231571.500072041</v>
      </c>
      <c r="E51" s="1283">
        <v>52</v>
      </c>
      <c r="F51" s="1283">
        <v>417609.013763775</v>
      </c>
    </row>
    <row r="52" spans="1:6">
      <c r="A52" s="1282" t="s">
        <v>41</v>
      </c>
      <c r="B52" s="1282" t="s">
        <v>28</v>
      </c>
      <c r="C52" s="1283">
        <v>4</v>
      </c>
      <c r="D52" s="1283">
        <v>46321.924854787401</v>
      </c>
      <c r="E52" s="1283">
        <v>5</v>
      </c>
      <c r="F52" s="1283">
        <v>49277.596690503196</v>
      </c>
    </row>
    <row r="53" spans="1:6">
      <c r="A53" s="1282" t="s">
        <v>43</v>
      </c>
      <c r="B53" s="1282" t="s">
        <v>44</v>
      </c>
      <c r="C53" s="1283">
        <v>60</v>
      </c>
      <c r="D53" s="1283">
        <v>1327524.57054618</v>
      </c>
      <c r="E53" s="1283">
        <v>127</v>
      </c>
      <c r="F53" s="1283">
        <v>745630.57162868895</v>
      </c>
    </row>
    <row r="54" spans="1:6">
      <c r="A54" s="1282" t="s">
        <v>45</v>
      </c>
      <c r="B54" s="1282" t="s">
        <v>46</v>
      </c>
      <c r="C54" s="1283">
        <v>0</v>
      </c>
      <c r="D54" s="1283">
        <v>0</v>
      </c>
      <c r="E54" s="1283">
        <v>2</v>
      </c>
      <c r="F54" s="1283">
        <v>508986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18</v>
      </c>
      <c r="D57" s="1283">
        <v>438153.94087263697</v>
      </c>
      <c r="E57" s="1283">
        <v>22</v>
      </c>
      <c r="F57" s="1283">
        <v>402197.679403894</v>
      </c>
    </row>
    <row r="58" spans="1:6">
      <c r="A58" s="1282" t="s">
        <v>48</v>
      </c>
      <c r="B58" s="1282" t="s">
        <v>50</v>
      </c>
      <c r="C58" s="1283">
        <v>0</v>
      </c>
      <c r="D58" s="1283">
        <v>0</v>
      </c>
      <c r="E58" s="1283">
        <v>3</v>
      </c>
      <c r="F58" s="1283">
        <v>12185.573038697799</v>
      </c>
    </row>
    <row r="59" spans="1:6">
      <c r="A59" s="1282" t="s">
        <v>48</v>
      </c>
      <c r="B59" s="1282" t="s">
        <v>51</v>
      </c>
      <c r="C59" s="1283">
        <v>13</v>
      </c>
      <c r="D59" s="1283">
        <v>399292.92204703199</v>
      </c>
      <c r="E59" s="1283">
        <v>41</v>
      </c>
      <c r="F59" s="1283">
        <v>629474.98108161497</v>
      </c>
    </row>
    <row r="60" spans="1:6">
      <c r="A60" s="1282" t="s">
        <v>48</v>
      </c>
      <c r="B60" s="1282" t="s">
        <v>52</v>
      </c>
      <c r="C60" s="1283">
        <v>7</v>
      </c>
      <c r="D60" s="1283">
        <v>534460.26217892196</v>
      </c>
      <c r="E60" s="1283">
        <v>13</v>
      </c>
      <c r="F60" s="1283">
        <v>311073.959514249</v>
      </c>
    </row>
    <row r="61" spans="1:6">
      <c r="A61" s="1282" t="s">
        <v>48</v>
      </c>
      <c r="B61" s="1282" t="s">
        <v>53</v>
      </c>
      <c r="C61" s="1283">
        <v>37</v>
      </c>
      <c r="D61" s="1283">
        <v>1599606.0533209599</v>
      </c>
      <c r="E61" s="1283">
        <v>127</v>
      </c>
      <c r="F61" s="1283">
        <v>1672328.1344206301</v>
      </c>
    </row>
    <row r="62" spans="1:6">
      <c r="A62" s="1282" t="s">
        <v>48</v>
      </c>
      <c r="B62" s="1282" t="s">
        <v>54</v>
      </c>
      <c r="C62" s="1283">
        <v>0</v>
      </c>
      <c r="D62" s="1283">
        <v>0</v>
      </c>
      <c r="E62" s="1283">
        <v>0</v>
      </c>
      <c r="F62" s="1283">
        <v>0</v>
      </c>
    </row>
    <row r="63" spans="1:6">
      <c r="A63" s="1282" t="s">
        <v>48</v>
      </c>
      <c r="B63" s="1282" t="s">
        <v>28</v>
      </c>
      <c r="C63" s="1283">
        <v>54</v>
      </c>
      <c r="D63" s="1283">
        <v>2003630.8978313601</v>
      </c>
      <c r="E63" s="1283">
        <v>84</v>
      </c>
      <c r="F63" s="1283">
        <v>1567492.8715220499</v>
      </c>
    </row>
    <row r="64" spans="1:6">
      <c r="A64" s="1282" t="s">
        <v>55</v>
      </c>
      <c r="B64" s="1282" t="s">
        <v>56</v>
      </c>
      <c r="C64" s="1283">
        <v>0</v>
      </c>
      <c r="D64" s="1283">
        <v>0</v>
      </c>
      <c r="E64" s="1283">
        <v>0</v>
      </c>
      <c r="F64" s="1283">
        <v>0</v>
      </c>
    </row>
    <row r="65" spans="1:6">
      <c r="A65" s="1282" t="s">
        <v>55</v>
      </c>
      <c r="B65" s="1282" t="s">
        <v>28</v>
      </c>
      <c r="C65" s="1283">
        <v>3</v>
      </c>
      <c r="D65" s="1283">
        <v>117302.274501459</v>
      </c>
      <c r="E65" s="1283">
        <v>5</v>
      </c>
      <c r="F65" s="1283">
        <v>94811.5618491926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152447.74363450101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27526718</v>
      </c>
      <c r="E73" s="447"/>
      <c r="F73" s="326"/>
    </row>
    <row r="74" spans="1:6">
      <c r="A74" s="1282" t="s">
        <v>63</v>
      </c>
      <c r="B74" s="1282" t="s">
        <v>760</v>
      </c>
      <c r="C74" s="1296" t="s">
        <v>761</v>
      </c>
      <c r="D74" s="1297">
        <v>2227708.3981792494</v>
      </c>
      <c r="E74" s="447"/>
      <c r="F74" s="326"/>
    </row>
    <row r="75" spans="1:6">
      <c r="A75" s="1282" t="s">
        <v>64</v>
      </c>
      <c r="B75" s="1282" t="s">
        <v>758</v>
      </c>
      <c r="C75" s="1296" t="s">
        <v>762</v>
      </c>
      <c r="D75" s="1297">
        <v>10881910</v>
      </c>
      <c r="E75" s="447"/>
      <c r="F75" s="326"/>
    </row>
    <row r="76" spans="1:6">
      <c r="A76" s="1282" t="s">
        <v>64</v>
      </c>
      <c r="B76" s="1282" t="s">
        <v>760</v>
      </c>
      <c r="C76" s="1296" t="s">
        <v>763</v>
      </c>
      <c r="D76" s="1297">
        <v>518630.39817924961</v>
      </c>
      <c r="E76" s="447"/>
      <c r="F76" s="326"/>
    </row>
    <row r="77" spans="1:6">
      <c r="A77" s="1282" t="s">
        <v>65</v>
      </c>
      <c r="B77" s="1282" t="s">
        <v>758</v>
      </c>
      <c r="C77" s="1296" t="s">
        <v>764</v>
      </c>
      <c r="D77" s="1297">
        <v>80166911</v>
      </c>
      <c r="E77" s="447"/>
      <c r="F77" s="326"/>
    </row>
    <row r="78" spans="1:6">
      <c r="A78" s="1277" t="s">
        <v>65</v>
      </c>
      <c r="B78" s="1277" t="s">
        <v>760</v>
      </c>
      <c r="C78" s="1277" t="s">
        <v>765</v>
      </c>
      <c r="D78" s="1298">
        <v>8402912</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221751.20364150082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890.40575064119844</v>
      </c>
      <c r="C91" s="326"/>
      <c r="D91" s="326"/>
      <c r="E91" s="326"/>
      <c r="F91" s="326"/>
    </row>
    <row r="92" spans="1:6">
      <c r="A92" s="1277" t="s">
        <v>68</v>
      </c>
      <c r="B92" s="1278">
        <v>108.02761973607608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725</v>
      </c>
      <c r="C97" s="326"/>
      <c r="D97" s="326"/>
      <c r="E97" s="326"/>
      <c r="F97" s="326"/>
    </row>
    <row r="98" spans="1:6">
      <c r="A98" s="1282" t="s">
        <v>71</v>
      </c>
      <c r="B98" s="1283">
        <v>0</v>
      </c>
      <c r="C98" s="326"/>
      <c r="D98" s="326"/>
      <c r="E98" s="326"/>
      <c r="F98" s="326"/>
    </row>
    <row r="99" spans="1:6">
      <c r="A99" s="1282" t="s">
        <v>72</v>
      </c>
      <c r="B99" s="1283">
        <v>45</v>
      </c>
      <c r="C99" s="326"/>
      <c r="D99" s="326"/>
      <c r="E99" s="326"/>
      <c r="F99" s="326"/>
    </row>
    <row r="100" spans="1:6">
      <c r="A100" s="1282" t="s">
        <v>73</v>
      </c>
      <c r="B100" s="1283">
        <v>134</v>
      </c>
      <c r="C100" s="326"/>
      <c r="D100" s="326"/>
      <c r="E100" s="326"/>
      <c r="F100" s="326"/>
    </row>
    <row r="101" spans="1:6">
      <c r="A101" s="1282" t="s">
        <v>74</v>
      </c>
      <c r="B101" s="1283">
        <v>32</v>
      </c>
      <c r="C101" s="326"/>
      <c r="D101" s="326"/>
      <c r="E101" s="326"/>
      <c r="F101" s="326"/>
    </row>
    <row r="102" spans="1:6">
      <c r="A102" s="1282" t="s">
        <v>75</v>
      </c>
      <c r="B102" s="1283">
        <v>19</v>
      </c>
      <c r="C102" s="326"/>
      <c r="D102" s="326"/>
      <c r="E102" s="326"/>
      <c r="F102" s="326"/>
    </row>
    <row r="103" spans="1:6">
      <c r="A103" s="1282" t="s">
        <v>76</v>
      </c>
      <c r="B103" s="1283">
        <v>54</v>
      </c>
      <c r="C103" s="326"/>
      <c r="D103" s="326"/>
      <c r="E103" s="326"/>
      <c r="F103" s="326"/>
    </row>
    <row r="104" spans="1:6">
      <c r="A104" s="1282" t="s">
        <v>77</v>
      </c>
      <c r="B104" s="1283">
        <v>1609</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21</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21102.393786897417</v>
      </c>
      <c r="C3" s="43" t="s">
        <v>169</v>
      </c>
      <c r="D3" s="43"/>
      <c r="E3" s="156"/>
      <c r="F3" s="43"/>
      <c r="G3" s="43"/>
      <c r="H3" s="43"/>
      <c r="I3" s="43"/>
      <c r="J3" s="43"/>
      <c r="K3" s="96"/>
    </row>
    <row r="4" spans="1:11">
      <c r="A4" s="354" t="s">
        <v>170</v>
      </c>
      <c r="B4" s="49">
        <f>IF(ISERROR('SEAP template'!B78+'SEAP template'!C78),0,'SEAP template'!B78+'SEAP template'!C78)</f>
        <v>9422.4333703772754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0.12232125312975989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8022.8571428571431</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508.98599999999999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508.98599999999999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0.12232125312975989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62.259805345503963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13146.039033019801</v>
      </c>
      <c r="C5" s="17">
        <f>IF(ISERROR('Eigen informatie GS &amp; warmtenet'!B57),0,'Eigen informatie GS &amp; warmtenet'!B57)</f>
        <v>0</v>
      </c>
      <c r="D5" s="30">
        <f>(SUM(HH_hh_gas_kWh,HH_rest_gas_kWh)/1000)*0.902</f>
        <v>24347.247366820488</v>
      </c>
      <c r="E5" s="17">
        <f>B32*B41</f>
        <v>752.81687507748768</v>
      </c>
      <c r="F5" s="17">
        <f>B36*B45</f>
        <v>25696.94905947995</v>
      </c>
      <c r="G5" s="18"/>
      <c r="H5" s="17"/>
      <c r="I5" s="17"/>
      <c r="J5" s="17">
        <f>B35*B44+C35*C44</f>
        <v>578.63014367389633</v>
      </c>
      <c r="K5" s="17"/>
      <c r="L5" s="17"/>
      <c r="M5" s="17"/>
      <c r="N5" s="17">
        <f>B34*B43+C34*C43</f>
        <v>3669.8499131264375</v>
      </c>
      <c r="O5" s="17">
        <f>B52*B53*B54</f>
        <v>37.520000000000003</v>
      </c>
      <c r="P5" s="17">
        <f>B60*B61*B62/1000-B60*B61*B62/1000/B63</f>
        <v>76.266666666666666</v>
      </c>
    </row>
    <row r="6" spans="1:16">
      <c r="A6" s="16" t="s">
        <v>621</v>
      </c>
      <c r="B6" s="768">
        <f>kWh_PV_kleiner_dan_10kW</f>
        <v>890.40575064119844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14036.444783661</v>
      </c>
      <c r="C8" s="21">
        <f>C5</f>
        <v>0</v>
      </c>
      <c r="D8" s="21">
        <f>D5</f>
        <v>24347.247366820488</v>
      </c>
      <c r="E8" s="21">
        <f>E5</f>
        <v>752.81687507748768</v>
      </c>
      <c r="F8" s="21">
        <f>F5</f>
        <v>25696.94905947995</v>
      </c>
      <c r="G8" s="21"/>
      <c r="H8" s="21"/>
      <c r="I8" s="21"/>
      <c r="J8" s="21">
        <f>J5</f>
        <v>578.63014367389633</v>
      </c>
      <c r="K8" s="21"/>
      <c r="L8" s="21">
        <f>L5</f>
        <v>0</v>
      </c>
      <c r="M8" s="21">
        <f>M5</f>
        <v>0</v>
      </c>
      <c r="N8" s="21">
        <f>N5</f>
        <v>3669.8499131264375</v>
      </c>
      <c r="O8" s="21">
        <f>O5</f>
        <v>37.520000000000003</v>
      </c>
      <c r="P8" s="21">
        <f>P5</f>
        <v>76.266666666666666</v>
      </c>
    </row>
    <row r="9" spans="1:16">
      <c r="B9" s="19"/>
      <c r="C9" s="19"/>
      <c r="D9" s="256"/>
      <c r="E9" s="19"/>
      <c r="F9" s="19"/>
      <c r="G9" s="19"/>
      <c r="H9" s="19"/>
      <c r="I9" s="19"/>
      <c r="J9" s="19"/>
      <c r="K9" s="19"/>
      <c r="L9" s="19"/>
      <c r="M9" s="19"/>
      <c r="N9" s="19"/>
      <c r="O9" s="19"/>
      <c r="P9" s="19"/>
    </row>
    <row r="10" spans="1:16">
      <c r="A10" s="24" t="s">
        <v>213</v>
      </c>
      <c r="B10" s="25">
        <f ca="1">'EF ele_warmte'!B12</f>
        <v>0.12232125312975989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1716.955515424095</v>
      </c>
      <c r="C12" s="23">
        <f ca="1">C10*C8</f>
        <v>0</v>
      </c>
      <c r="D12" s="23">
        <f>D8*D10</f>
        <v>4918.1439680977392</v>
      </c>
      <c r="E12" s="23">
        <f>E10*E8</f>
        <v>170.8894306425897</v>
      </c>
      <c r="F12" s="23">
        <f>F10*F8</f>
        <v>6861.0853988811468</v>
      </c>
      <c r="G12" s="23"/>
      <c r="H12" s="23"/>
      <c r="I12" s="23"/>
      <c r="J12" s="23">
        <f>J10*J8</f>
        <v>204.83507086055928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2944</v>
      </c>
      <c r="C26" s="36"/>
      <c r="D26" s="226"/>
    </row>
    <row r="27" spans="1:5" s="15" customFormat="1">
      <c r="A27" s="228" t="s">
        <v>701</v>
      </c>
      <c r="B27" s="37">
        <f>SUM(HH_hh_gas_aantal,HH_rest_gas_aantal)</f>
        <v>1453</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1380.35</v>
      </c>
      <c r="C31" s="34" t="s">
        <v>110</v>
      </c>
      <c r="D31" s="172"/>
    </row>
    <row r="32" spans="1:5">
      <c r="A32" s="169" t="s">
        <v>72</v>
      </c>
      <c r="B32" s="33">
        <f>IF((B21*($B$26-($B$27-0.05*$B$27)-$B$60))&lt;0,0,B21*($B$26-($B$27-0.05*$B$27)-$B$60))</f>
        <v>11.057245747027908</v>
      </c>
      <c r="C32" s="34" t="s">
        <v>110</v>
      </c>
      <c r="D32" s="172"/>
    </row>
    <row r="33" spans="1:6">
      <c r="A33" s="169" t="s">
        <v>73</v>
      </c>
      <c r="B33" s="33">
        <f>IF((B22*($B$26-($B$27-0.05*$B$27)-$B$60))&lt;0,0,B22*($B$26-($B$27-0.05*$B$27)-$B$60))</f>
        <v>316.89915872264345</v>
      </c>
      <c r="C33" s="34" t="s">
        <v>110</v>
      </c>
      <c r="D33" s="172"/>
    </row>
    <row r="34" spans="1:6">
      <c r="A34" s="169" t="s">
        <v>74</v>
      </c>
      <c r="B34" s="33">
        <f>IF((B24*($B$26-($B$27-0.05*$B$27)-$B$60))&lt;0,0,B24*($B$26-($B$27-0.05*$B$27)-$B$60))</f>
        <v>63.193041340728286</v>
      </c>
      <c r="C34" s="33">
        <f>B26*C24</f>
        <v>601.98209776511771</v>
      </c>
      <c r="D34" s="231"/>
    </row>
    <row r="35" spans="1:6">
      <c r="A35" s="169" t="s">
        <v>76</v>
      </c>
      <c r="B35" s="33">
        <f>IF((B19*($B$26-($B$27-0.05*$B$27)-$B$60))&lt;0,0,B19*($B$26-($B$27-0.05*$B$27)-$B$60))</f>
        <v>32.908469485202112</v>
      </c>
      <c r="C35" s="33">
        <f>B35/2</f>
        <v>16.454234742601056</v>
      </c>
      <c r="D35" s="231"/>
    </row>
    <row r="36" spans="1:6">
      <c r="A36" s="169" t="s">
        <v>77</v>
      </c>
      <c r="B36" s="33">
        <f>IF((B18*($B$26-($B$27-0.05*$B$27)-$B$60))&lt;0,0,B18*($B$26-($B$27-0.05*$B$27)-$B$60))</f>
        <v>1135.5920847043983</v>
      </c>
      <c r="C36" s="34" t="s">
        <v>110</v>
      </c>
      <c r="D36" s="172"/>
    </row>
    <row r="37" spans="1:6">
      <c r="A37" s="169" t="s">
        <v>78</v>
      </c>
      <c r="B37" s="33">
        <f>B60</f>
        <v>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4594.7531989811359</v>
      </c>
      <c r="C5" s="17">
        <f>IF(ISERROR('Eigen informatie GS &amp; warmtenet'!B58),0,'Eigen informatie GS &amp; warmtenet'!B58)</f>
        <v>0</v>
      </c>
      <c r="D5" s="30">
        <f>SUM(D6:D12)</f>
        <v>4487.5799567783215</v>
      </c>
      <c r="E5" s="17">
        <f>SUM(E6:E12)</f>
        <v>115.39339298033207</v>
      </c>
      <c r="F5" s="17">
        <f>SUM(F6:F12)</f>
        <v>823.73039016880443</v>
      </c>
      <c r="G5" s="18"/>
      <c r="H5" s="17"/>
      <c r="I5" s="17"/>
      <c r="J5" s="17">
        <f>SUM(J6:J12)</f>
        <v>0</v>
      </c>
      <c r="K5" s="17"/>
      <c r="L5" s="17"/>
      <c r="M5" s="17"/>
      <c r="N5" s="17">
        <f>SUM(N6:N12)</f>
        <v>150.4825424429352</v>
      </c>
      <c r="O5" s="17">
        <f>B38*B39*B40</f>
        <v>0</v>
      </c>
      <c r="P5" s="17">
        <f>B46*B47*B48/1000-B46*B47*B48/1000/B49</f>
        <v>19.066666666666666</v>
      </c>
      <c r="R5" s="32"/>
    </row>
    <row r="6" spans="1:18">
      <c r="A6" s="32" t="s">
        <v>53</v>
      </c>
      <c r="B6" s="37">
        <f>B26</f>
        <v>1672.32813442063</v>
      </c>
      <c r="C6" s="33"/>
      <c r="D6" s="37">
        <f>IF(ISERROR(TER_kantoor_gas_kWh/1000),0,TER_kantoor_gas_kWh/1000)*0.902</f>
        <v>1442.844660095506</v>
      </c>
      <c r="E6" s="33">
        <f>$C$26*'E Balans VL '!I12/100/3.6*1000000</f>
        <v>58.538063219893843</v>
      </c>
      <c r="F6" s="33">
        <f>$C$26*('E Balans VL '!L12+'E Balans VL '!N12)/100/3.6*1000000</f>
        <v>253.56084971138134</v>
      </c>
      <c r="G6" s="34"/>
      <c r="H6" s="33"/>
      <c r="I6" s="33"/>
      <c r="J6" s="33">
        <f>$C$26*('E Balans VL '!D12+'E Balans VL '!E12)/100/3.6*1000000</f>
        <v>0</v>
      </c>
      <c r="K6" s="33"/>
      <c r="L6" s="33"/>
      <c r="M6" s="33"/>
      <c r="N6" s="33">
        <f>$C$26*'E Balans VL '!Y12/100/3.6*1000000</f>
        <v>12.92657305477068</v>
      </c>
      <c r="O6" s="33"/>
      <c r="P6" s="33"/>
      <c r="R6" s="32"/>
    </row>
    <row r="7" spans="1:18">
      <c r="A7" s="32" t="s">
        <v>52</v>
      </c>
      <c r="B7" s="37">
        <f t="shared" ref="B7:B12" si="0">B27</f>
        <v>311.073959514249</v>
      </c>
      <c r="C7" s="33"/>
      <c r="D7" s="37">
        <f>IF(ISERROR(TER_horeca_gas_kWh/1000),0,TER_horeca_gas_kWh/1000)*0.902</f>
        <v>482.08315648538763</v>
      </c>
      <c r="E7" s="33">
        <f>$C$27*'E Balans VL '!I9/100/3.6*1000000</f>
        <v>17.548707592911217</v>
      </c>
      <c r="F7" s="33">
        <f>$C$27*('E Balans VL '!L9+'E Balans VL '!N9)/100/3.6*1000000</f>
        <v>54.19080525277721</v>
      </c>
      <c r="G7" s="34"/>
      <c r="H7" s="33"/>
      <c r="I7" s="33"/>
      <c r="J7" s="33">
        <f>$C$27*('E Balans VL '!D9+'E Balans VL '!E9)/100/3.6*1000000</f>
        <v>0</v>
      </c>
      <c r="K7" s="33"/>
      <c r="L7" s="33"/>
      <c r="M7" s="33"/>
      <c r="N7" s="33">
        <f>$C$27*'E Balans VL '!Y9/100/3.6*1000000</f>
        <v>0</v>
      </c>
      <c r="O7" s="33"/>
      <c r="P7" s="33"/>
      <c r="R7" s="32"/>
    </row>
    <row r="8" spans="1:18">
      <c r="A8" s="6" t="s">
        <v>51</v>
      </c>
      <c r="B8" s="37">
        <f t="shared" si="0"/>
        <v>629.47498108161494</v>
      </c>
      <c r="C8" s="33"/>
      <c r="D8" s="37">
        <f>IF(ISERROR(TER_handel_gas_kWh/1000),0,TER_handel_gas_kWh/1000)*0.902</f>
        <v>360.16221568642288</v>
      </c>
      <c r="E8" s="33">
        <f>$C$28*'E Balans VL '!I13/100/3.6*1000000</f>
        <v>3.2316605991424785</v>
      </c>
      <c r="F8" s="33">
        <f>$C$28*('E Balans VL '!L13+'E Balans VL '!N13)/100/3.6*1000000</f>
        <v>97.055315695870107</v>
      </c>
      <c r="G8" s="34"/>
      <c r="H8" s="33"/>
      <c r="I8" s="33"/>
      <c r="J8" s="33">
        <f>$C$28*('E Balans VL '!D13+'E Balans VL '!E13)/100/3.6*1000000</f>
        <v>0</v>
      </c>
      <c r="K8" s="33"/>
      <c r="L8" s="33"/>
      <c r="M8" s="33"/>
      <c r="N8" s="33">
        <f>$C$28*'E Balans VL '!Y13/100/3.6*1000000</f>
        <v>0.2944131324282806</v>
      </c>
      <c r="O8" s="33"/>
      <c r="P8" s="33"/>
      <c r="R8" s="32"/>
    </row>
    <row r="9" spans="1:18">
      <c r="A9" s="32" t="s">
        <v>50</v>
      </c>
      <c r="B9" s="37">
        <f t="shared" si="0"/>
        <v>12.185573038697799</v>
      </c>
      <c r="C9" s="33"/>
      <c r="D9" s="37">
        <f>IF(ISERROR(TER_gezond_gas_kWh/1000),0,TER_gezond_gas_kWh/1000)*0.902</f>
        <v>0</v>
      </c>
      <c r="E9" s="33">
        <f>$C$29*'E Balans VL '!I10/100/3.6*1000000</f>
        <v>5.0508332419993236E-3</v>
      </c>
      <c r="F9" s="33">
        <f>$C$29*('E Balans VL '!L10+'E Balans VL '!N10)/100/3.6*1000000</f>
        <v>3.001131875001624</v>
      </c>
      <c r="G9" s="34"/>
      <c r="H9" s="33"/>
      <c r="I9" s="33"/>
      <c r="J9" s="33">
        <f>$C$29*('E Balans VL '!D10+'E Balans VL '!E10)/100/3.6*1000000</f>
        <v>0</v>
      </c>
      <c r="K9" s="33"/>
      <c r="L9" s="33"/>
      <c r="M9" s="33"/>
      <c r="N9" s="33">
        <f>$C$29*'E Balans VL '!Y10/100/3.6*1000000</f>
        <v>0.10531351187225238</v>
      </c>
      <c r="O9" s="33"/>
      <c r="P9" s="33"/>
      <c r="R9" s="32"/>
    </row>
    <row r="10" spans="1:18">
      <c r="A10" s="32" t="s">
        <v>49</v>
      </c>
      <c r="B10" s="37">
        <f t="shared" si="0"/>
        <v>402.19767940389397</v>
      </c>
      <c r="C10" s="33"/>
      <c r="D10" s="37">
        <f>IF(ISERROR(TER_ander_gas_kWh/1000),0,TER_ander_gas_kWh/1000)*0.902</f>
        <v>395.21485466711852</v>
      </c>
      <c r="E10" s="33">
        <f>$C$30*'E Balans VL '!I14/100/3.6*1000000</f>
        <v>2.4518069769477973</v>
      </c>
      <c r="F10" s="33">
        <f>$C$30*('E Balans VL '!L14+'E Balans VL '!N14)/100/3.6*1000000</f>
        <v>106.62811429321231</v>
      </c>
      <c r="G10" s="34"/>
      <c r="H10" s="33"/>
      <c r="I10" s="33"/>
      <c r="J10" s="33">
        <f>$C$30*('E Balans VL '!D14+'E Balans VL '!E14)/100/3.6*1000000</f>
        <v>0</v>
      </c>
      <c r="K10" s="33"/>
      <c r="L10" s="33"/>
      <c r="M10" s="33"/>
      <c r="N10" s="33">
        <f>$C$30*'E Balans VL '!Y14/100/3.6*1000000</f>
        <v>92.697874250429038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1567.4928715220499</v>
      </c>
      <c r="C12" s="33"/>
      <c r="D12" s="37">
        <f>IF(ISERROR(TER_rest_gas_kWh/1000),0,TER_rest_gas_kWh/1000)*0.902</f>
        <v>1807.2750698438867</v>
      </c>
      <c r="E12" s="33">
        <f>$C$32*'E Balans VL '!I8/100/3.6*1000000</f>
        <v>33.618103758194749</v>
      </c>
      <c r="F12" s="33">
        <f>$C$32*('E Balans VL '!L8+'E Balans VL '!N8)/100/3.6*1000000</f>
        <v>309.29417334056183</v>
      </c>
      <c r="G12" s="34"/>
      <c r="H12" s="33"/>
      <c r="I12" s="33"/>
      <c r="J12" s="33">
        <f>$C$32*('E Balans VL '!D8+'E Balans VL '!E8)/100/3.6*1000000</f>
        <v>0</v>
      </c>
      <c r="K12" s="33"/>
      <c r="L12" s="33"/>
      <c r="M12" s="33"/>
      <c r="N12" s="33">
        <f>$C$32*'E Balans VL '!Y8/100/3.6*1000000</f>
        <v>44.458368493434932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4594.7531989811359</v>
      </c>
      <c r="C16" s="21">
        <f ca="1">C5+C13+C14</f>
        <v>0</v>
      </c>
      <c r="D16" s="21">
        <f t="shared" ref="D16:N16" ca="1" si="1">MAX((D5+D13+D14),0)</f>
        <v>4487.5799567783215</v>
      </c>
      <c r="E16" s="21">
        <f t="shared" si="1"/>
        <v>115.39339298033207</v>
      </c>
      <c r="F16" s="21">
        <f t="shared" ca="1" si="1"/>
        <v>823.73039016880443</v>
      </c>
      <c r="G16" s="21">
        <f t="shared" si="1"/>
        <v>0</v>
      </c>
      <c r="H16" s="21">
        <f t="shared" si="1"/>
        <v>0</v>
      </c>
      <c r="I16" s="21">
        <f t="shared" si="1"/>
        <v>0</v>
      </c>
      <c r="J16" s="21">
        <f t="shared" si="1"/>
        <v>0</v>
      </c>
      <c r="K16" s="21">
        <f t="shared" si="1"/>
        <v>0</v>
      </c>
      <c r="L16" s="21">
        <f t="shared" ca="1" si="1"/>
        <v>0</v>
      </c>
      <c r="M16" s="21">
        <f t="shared" si="1"/>
        <v>0</v>
      </c>
      <c r="N16" s="21">
        <f t="shared" ca="1" si="1"/>
        <v>150.4825424429352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0.12232125312975989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562.03596912134549</v>
      </c>
      <c r="C20" s="23">
        <f t="shared" ref="C20:P20" ca="1" si="2">C16*C18</f>
        <v>0</v>
      </c>
      <c r="D20" s="23">
        <f t="shared" ca="1" si="2"/>
        <v>906.49115126922095</v>
      </c>
      <c r="E20" s="23">
        <f t="shared" si="2"/>
        <v>26.194300206535381</v>
      </c>
      <c r="F20" s="23">
        <f t="shared" ca="1" si="2"/>
        <v>219.9360141750708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1672.32813442063</v>
      </c>
      <c r="C26" s="39">
        <f>IF(ISERROR(B26*3.6/1000000/'E Balans VL '!Z12*100),0,B26*3.6/1000000/'E Balans VL '!Z12*100)</f>
        <v>3.5191372241427779E-2</v>
      </c>
      <c r="D26" s="234" t="s">
        <v>706</v>
      </c>
      <c r="F26" s="6"/>
    </row>
    <row r="27" spans="1:18">
      <c r="A27" s="229" t="s">
        <v>52</v>
      </c>
      <c r="B27" s="33">
        <f>IF(ISERROR(TER_horeca_ele_kWh/1000),0,TER_horeca_ele_kWh/1000)</f>
        <v>311.073959514249</v>
      </c>
      <c r="C27" s="39">
        <f>IF(ISERROR(B27*3.6/1000000/'E Balans VL '!Z9*100),0,B27*3.6/1000000/'E Balans VL '!Z9*100)</f>
        <v>2.6337758042340034E-2</v>
      </c>
      <c r="D27" s="234" t="s">
        <v>706</v>
      </c>
      <c r="F27" s="6"/>
    </row>
    <row r="28" spans="1:18">
      <c r="A28" s="169" t="s">
        <v>51</v>
      </c>
      <c r="B28" s="33">
        <f>IF(ISERROR(TER_handel_ele_kWh/1000),0,TER_handel_ele_kWh/1000)</f>
        <v>629.47498108161494</v>
      </c>
      <c r="C28" s="39">
        <f>IF(ISERROR(B28*3.6/1000000/'E Balans VL '!Z13*100),0,B28*3.6/1000000/'E Balans VL '!Z13*100)</f>
        <v>1.7426927808044831E-2</v>
      </c>
      <c r="D28" s="234" t="s">
        <v>706</v>
      </c>
      <c r="F28" s="6"/>
    </row>
    <row r="29" spans="1:18">
      <c r="A29" s="229" t="s">
        <v>50</v>
      </c>
      <c r="B29" s="33">
        <f>IF(ISERROR(TER_gezond_ele_kWh/1000),0,TER_gezond_ele_kWh/1000)</f>
        <v>12.185573038697799</v>
      </c>
      <c r="C29" s="39">
        <f>IF(ISERROR(B29*3.6/1000000/'E Balans VL '!Z10*100),0,B29*3.6/1000000/'E Balans VL '!Z10*100)</f>
        <v>1.583989402203145E-3</v>
      </c>
      <c r="D29" s="234" t="s">
        <v>706</v>
      </c>
      <c r="F29" s="6"/>
    </row>
    <row r="30" spans="1:18">
      <c r="A30" s="229" t="s">
        <v>49</v>
      </c>
      <c r="B30" s="33">
        <f>IF(ISERROR(TER_ander_ele_kWh/1000),0,TER_ander_ele_kWh/1000)</f>
        <v>402.19767940389397</v>
      </c>
      <c r="C30" s="39">
        <f>IF(ISERROR(B30*3.6/1000000/'E Balans VL '!Z14*100),0,B30*3.6/1000000/'E Balans VL '!Z14*100)</f>
        <v>3.1174008588285184E-2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1567.4928715220499</v>
      </c>
      <c r="C32" s="39">
        <f>IF(ISERROR(B32*3.6/1000000/'E Balans VL '!Z8*100),0,B32*3.6/1000000/'E Balans VL '!Z8*100)</f>
        <v>1.2925182427870618E-2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744.64965502774805</v>
      </c>
      <c r="C5" s="17">
        <f>IF(ISERROR('Eigen informatie GS &amp; warmtenet'!B59),0,'Eigen informatie GS &amp; warmtenet'!B59)</f>
        <v>0</v>
      </c>
      <c r="D5" s="30">
        <f>SUM(D6:D15)</f>
        <v>384.55532636650128</v>
      </c>
      <c r="E5" s="17">
        <f>SUM(E6:E15)</f>
        <v>9.8798316062764897</v>
      </c>
      <c r="F5" s="17">
        <f>SUM(F6:F15)</f>
        <v>374.39038592611473</v>
      </c>
      <c r="G5" s="18"/>
      <c r="H5" s="17"/>
      <c r="I5" s="17"/>
      <c r="J5" s="17">
        <f>SUM(J6:J15)</f>
        <v>1.7066645816040318</v>
      </c>
      <c r="K5" s="17"/>
      <c r="L5" s="17"/>
      <c r="M5" s="17"/>
      <c r="N5" s="17">
        <f>SUM(N6:N15)</f>
        <v>35.238636510269174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403.50930644643705</v>
      </c>
      <c r="C9" s="33"/>
      <c r="D9" s="37">
        <f>IF( ISERROR(IND_andere_gas_kWh/1000),0,IND_andere_gas_kWh/1000)*0.902</f>
        <v>97.932746375243738</v>
      </c>
      <c r="E9" s="33">
        <f>C31*'E Balans VL '!I19/100/3.6*1000000</f>
        <v>6.7774331164508981</v>
      </c>
      <c r="F9" s="33">
        <f>C31*'E Balans VL '!L19/100/3.6*1000000+C31*'E Balans VL '!N19/100/3.6*1000000</f>
        <v>315.44059360575255</v>
      </c>
      <c r="G9" s="34"/>
      <c r="H9" s="33"/>
      <c r="I9" s="33"/>
      <c r="J9" s="40">
        <f>C31*'E Balans VL '!D19/100/3.6*1000000+C31*'E Balans VL '!E19/100/3.6*1000000</f>
        <v>3.6392977509504355E-2</v>
      </c>
      <c r="K9" s="33"/>
      <c r="L9" s="33"/>
      <c r="M9" s="33"/>
      <c r="N9" s="33">
        <f>C31*'E Balans VL '!Y19/100/3.6*1000000</f>
        <v>29.906513344572819</v>
      </c>
      <c r="O9" s="33"/>
      <c r="P9" s="33"/>
      <c r="R9" s="32"/>
    </row>
    <row r="10" spans="1:18">
      <c r="A10" s="6" t="s">
        <v>40</v>
      </c>
      <c r="B10" s="37">
        <f t="shared" si="0"/>
        <v>239.701433223235</v>
      </c>
      <c r="C10" s="33"/>
      <c r="D10" s="37">
        <f>IF( ISERROR(IND_voed_gas_kWh/1000),0,IND_voed_gas_kWh/1000)*0.902</f>
        <v>148.47106509397267</v>
      </c>
      <c r="E10" s="33">
        <f>C32*'E Balans VL '!I20/100/3.6*1000000</f>
        <v>2.186936268803009</v>
      </c>
      <c r="F10" s="33">
        <f>C32*'E Balans VL '!L20/100/3.6*1000000+C32*'E Balans VL '!N20/100/3.6*1000000</f>
        <v>38.671338600974615</v>
      </c>
      <c r="G10" s="34"/>
      <c r="H10" s="33"/>
      <c r="I10" s="33"/>
      <c r="J10" s="40">
        <f>C32*'E Balans VL '!D20/100/3.6*1000000+C32*'E Balans VL '!E20/100/3.6*1000000</f>
        <v>0.98724765788004532</v>
      </c>
      <c r="K10" s="33"/>
      <c r="L10" s="33"/>
      <c r="M10" s="33"/>
      <c r="N10" s="33">
        <f>C32*'E Balans VL '!Y20/100/3.6*1000000</f>
        <v>3.5066429581710672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101.438915358076</v>
      </c>
      <c r="C15" s="33"/>
      <c r="D15" s="37">
        <f>IF( ISERROR(IND_rest_gas_kWh/1000),0,IND_rest_gas_kWh/1000)*0.902</f>
        <v>138.15151489728487</v>
      </c>
      <c r="E15" s="33">
        <f>C37*'E Balans VL '!I15/100/3.6*1000000</f>
        <v>0.91546222102258301</v>
      </c>
      <c r="F15" s="33">
        <f>C37*'E Balans VL '!L15/100/3.6*1000000+C37*'E Balans VL '!N15/100/3.6*1000000</f>
        <v>20.278453719387581</v>
      </c>
      <c r="G15" s="34"/>
      <c r="H15" s="33"/>
      <c r="I15" s="33"/>
      <c r="J15" s="40">
        <f>C37*'E Balans VL '!D15/100/3.6*1000000+C37*'E Balans VL '!E15/100/3.6*1000000</f>
        <v>0.68302394621448204</v>
      </c>
      <c r="K15" s="33"/>
      <c r="L15" s="33"/>
      <c r="M15" s="33"/>
      <c r="N15" s="33">
        <f>C37*'E Balans VL '!Y15/100/3.6*1000000</f>
        <v>1.8254802075252874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744.64965502774805</v>
      </c>
      <c r="C18" s="21">
        <f>C5+C16</f>
        <v>0</v>
      </c>
      <c r="D18" s="21">
        <f>MAX((D5+D16),0)</f>
        <v>384.55532636650128</v>
      </c>
      <c r="E18" s="21">
        <f>MAX((E5+E16),0)</f>
        <v>9.8798316062764897</v>
      </c>
      <c r="F18" s="21">
        <f>MAX((F5+F16),0)</f>
        <v>374.39038592611473</v>
      </c>
      <c r="G18" s="21"/>
      <c r="H18" s="21"/>
      <c r="I18" s="21"/>
      <c r="J18" s="21">
        <f>MAX((J5+J16),0)</f>
        <v>1.7066645816040318</v>
      </c>
      <c r="K18" s="21"/>
      <c r="L18" s="21">
        <f>MAX((L5+L16),0)</f>
        <v>0</v>
      </c>
      <c r="M18" s="21"/>
      <c r="N18" s="21">
        <f>MAX((N5+N16),0)</f>
        <v>35.238636510269174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0.12232125312975989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91.086478945637552</v>
      </c>
      <c r="C22" s="23">
        <f ca="1">C18*C20</f>
        <v>0</v>
      </c>
      <c r="D22" s="23">
        <f>D18*D20</f>
        <v>77.680175926033257</v>
      </c>
      <c r="E22" s="23">
        <f>E18*E20</f>
        <v>2.2427217746247634</v>
      </c>
      <c r="F22" s="23">
        <f>F18*F20</f>
        <v>99.962233042272644</v>
      </c>
      <c r="G22" s="23"/>
      <c r="H22" s="23"/>
      <c r="I22" s="23"/>
      <c r="J22" s="23">
        <f>J18*J20</f>
        <v>0.6041592618878272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403.50930644643705</v>
      </c>
      <c r="C31" s="39">
        <f>IF(ISERROR(B31*3.6/1000000/'E Balans VL '!Z19*100),0,B31*3.6/1000000/'E Balans VL '!Z19*100)</f>
        <v>1.7885968468834907E-2</v>
      </c>
      <c r="D31" s="234" t="s">
        <v>706</v>
      </c>
    </row>
    <row r="32" spans="1:18">
      <c r="A32" s="169" t="s">
        <v>40</v>
      </c>
      <c r="B32" s="37">
        <f>IF( ISERROR(IND_voed_ele_kWh/1000),0,IND_voed_ele_kWh/1000)</f>
        <v>239.701433223235</v>
      </c>
      <c r="C32" s="39">
        <f>IF(ISERROR(B32*3.6/1000000/'E Balans VL '!Z20*100),0,B32*3.6/1000000/'E Balans VL '!Z20*100)</f>
        <v>8.0067154840732686E-3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101.438915358076</v>
      </c>
      <c r="C37" s="39">
        <f>IF(ISERROR(B37*3.6/1000000/'E Balans VL '!Z15*100),0,B37*3.6/1000000/'E Balans VL '!Z15*100)</f>
        <v>7.5454027213491177E-4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466.88661045427818</v>
      </c>
      <c r="C5" s="17">
        <f>'Eigen informatie GS &amp; warmtenet'!B60</f>
        <v>0</v>
      </c>
      <c r="D5" s="30">
        <f>IF(ISERROR(SUM(LB_lb_gas_kWh,LB_rest_gas_kWh)/1000),0,SUM(LB_lb_gas_kWh,LB_rest_gas_kWh)/1000)*0.902</f>
        <v>250.65986928399923</v>
      </c>
      <c r="E5" s="17">
        <f>B17*'E Balans VL '!I25/3.6*1000000/100</f>
        <v>4.8893376615064756</v>
      </c>
      <c r="F5" s="17">
        <f>B17*('E Balans VL '!L25/3.6*1000000+'E Balans VL '!N25/3.6*1000000)/100</f>
        <v>1998.6294512248967</v>
      </c>
      <c r="G5" s="18"/>
      <c r="H5" s="17"/>
      <c r="I5" s="17"/>
      <c r="J5" s="17">
        <f>('E Balans VL '!D25+'E Balans VL '!E25)/3.6*1000000*landbouw!B17/100</f>
        <v>41.6971590896474</v>
      </c>
      <c r="K5" s="17"/>
      <c r="L5" s="17">
        <f>L6*(-1)</f>
        <v>0</v>
      </c>
      <c r="M5" s="17"/>
      <c r="N5" s="17">
        <f>N6*(-1)</f>
        <v>23065.714285714286</v>
      </c>
      <c r="O5" s="17"/>
      <c r="P5" s="17"/>
      <c r="R5" s="32"/>
    </row>
    <row r="6" spans="1:18">
      <c r="A6" s="16" t="s">
        <v>489</v>
      </c>
      <c r="B6" s="17" t="s">
        <v>210</v>
      </c>
      <c r="C6" s="17">
        <f>'lokale energieproductie'!O39+'lokale energieproductie'!O32</f>
        <v>8022.8571428571431</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-23065.714285714286</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466.88661045427818</v>
      </c>
      <c r="C8" s="21">
        <f>C5+C6</f>
        <v>8022.8571428571431</v>
      </c>
      <c r="D8" s="21">
        <f>MAX((D5+D6),0)</f>
        <v>250.65986928399923</v>
      </c>
      <c r="E8" s="21">
        <f>MAX((E5+E6),0)</f>
        <v>4.8893376615064756</v>
      </c>
      <c r="F8" s="21">
        <f>MAX((F5+F6),0)</f>
        <v>1998.6294512248967</v>
      </c>
      <c r="G8" s="21"/>
      <c r="H8" s="21"/>
      <c r="I8" s="21"/>
      <c r="J8" s="21">
        <f>MAX((J5+J6),0)</f>
        <v>41.6971590896474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0.12232125312975989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57.110155260273359</v>
      </c>
      <c r="C12" s="23">
        <f ca="1">C8*C10</f>
        <v>0</v>
      </c>
      <c r="D12" s="23">
        <f>D8*D10</f>
        <v>50.633293595367846</v>
      </c>
      <c r="E12" s="23">
        <f>E8*E10</f>
        <v>1.10987964916197</v>
      </c>
      <c r="F12" s="23">
        <f>F8*F10</f>
        <v>533.63406347704745</v>
      </c>
      <c r="G12" s="23"/>
      <c r="H12" s="23"/>
      <c r="I12" s="23"/>
      <c r="J12" s="23">
        <f>J8*J10</f>
        <v>14.760794317735179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7.1862861926005356E-2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125.52540305736932</v>
      </c>
      <c r="C26" s="244">
        <f>B26*'GWP N2O_CH4'!B5</f>
        <v>2636.0334642047555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34.302473078947713</v>
      </c>
      <c r="C27" s="244">
        <f>B27*'GWP N2O_CH4'!B5</f>
        <v>720.35193465790201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2.8224138313123577</v>
      </c>
      <c r="C28" s="244">
        <f>B28*'GWP N2O_CH4'!B4</f>
        <v>874.94828770683091</v>
      </c>
      <c r="D28" s="50"/>
    </row>
    <row r="29" spans="1:4">
      <c r="A29" s="41" t="s">
        <v>272</v>
      </c>
      <c r="B29" s="244">
        <f>B34*'ha_N2O bodem landbouw'!B4</f>
        <v>16.689550688575387</v>
      </c>
      <c r="C29" s="244">
        <f>B29*'GWP N2O_CH4'!B4</f>
        <v>5173.7607134583704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2.7581674467844672E-3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4.73790320349335E-6</v>
      </c>
      <c r="C5" s="435" t="s">
        <v>210</v>
      </c>
      <c r="D5" s="420">
        <f>SUM(D6:D11)</f>
        <v>1.5045053856075062E-5</v>
      </c>
      <c r="E5" s="420">
        <f>SUM(E6:E11)</f>
        <v>1.7812188728677596E-3</v>
      </c>
      <c r="F5" s="433" t="s">
        <v>210</v>
      </c>
      <c r="G5" s="420">
        <f>SUM(G6:G11)</f>
        <v>0.32945760318730855</v>
      </c>
      <c r="H5" s="420">
        <f>SUM(H6:H11)</f>
        <v>5.1729409830806247E-2</v>
      </c>
      <c r="I5" s="435" t="s">
        <v>210</v>
      </c>
      <c r="J5" s="435" t="s">
        <v>210</v>
      </c>
      <c r="K5" s="435" t="s">
        <v>210</v>
      </c>
      <c r="L5" s="435" t="s">
        <v>210</v>
      </c>
      <c r="M5" s="420">
        <f>SUM(M6:M11)</f>
        <v>1.6573611498109146E-2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1.0460565566524902E-6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3.3120462090307465E-6</v>
      </c>
      <c r="E6" s="423">
        <f>vkm_GW_PW*SUMIFS(TableVerdeelsleutelVkm[LPG],TableVerdeelsleutelVkm[Voertuigtype],"Lichte voertuigen")*SUMIFS(TableECFTransport[EnergieConsumptieFactor (PJ per km)],TableECFTransport[Index],CONCATENATE($A6,"_LPG_LPG"))</f>
        <v>3.4514401530590479E-4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4.5973268880547334E-2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1.1028887936320201E-2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2.4880959731002125E-3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4.6326447523695624E-8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2.0882904598028818E-2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5.6540425191467603E-7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8.9964421398477836E-4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4.1352889597671251E-7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2.2251793664918299E-6</v>
      </c>
      <c r="E8" s="423">
        <f>vkm_NGW_PW*SUMIFS(TableVerdeelsleutelVkm[LPG],TableVerdeelsleutelVkm[Voertuigtype],"Lichte voertuigen")*SUMIFS(TableECFTransport[EnergieConsumptieFactor (PJ per km)],TableECFTransport[Index],CONCATENATE($A8,"_LPG_LPG"))</f>
        <v>2.1883222211175468E-4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2.7598230050568811E-2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7.0064765775198984E-3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1.5113826533913436E-3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1.0785210463398869E-8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6.7342548364103701E-3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1.5888216258777587E-7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2.9011341952940041E-4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3.0464628176205618E-6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9.5078282805524848E-6</v>
      </c>
      <c r="E10" s="423">
        <f>vkm_SW_PW*SUMIFS(TableVerdeelsleutelVkm[LPG],TableVerdeelsleutelVkm[Voertuigtype],"Lichte voertuigen")*SUMIFS(TableECFTransport[EnergieConsumptieFactor (PJ per km)],TableECFTransport[Index],CONCATENATE($A10,"_LPG_LPG"))</f>
        <v>1.2172426354501002E-3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0.15226219372363564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3.3691125896823236E-2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8.1099664772598685E-3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1.7474327525649059E-7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7.6006751098117539E-2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2.1951337284123665E-6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3.2744087608435435E-3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1.3160842231925971</v>
      </c>
      <c r="C14" s="21"/>
      <c r="D14" s="21">
        <f t="shared" ref="D14:M14" si="0">((D5)*10^9/3600)+D12</f>
        <v>4.1791816266875177</v>
      </c>
      <c r="E14" s="21">
        <f t="shared" si="0"/>
        <v>494.78302024104431</v>
      </c>
      <c r="F14" s="21"/>
      <c r="G14" s="21">
        <f t="shared" si="0"/>
        <v>91516.000885363479</v>
      </c>
      <c r="H14" s="21">
        <f t="shared" si="0"/>
        <v>14369.280508557291</v>
      </c>
      <c r="I14" s="21"/>
      <c r="J14" s="21"/>
      <c r="K14" s="21"/>
      <c r="L14" s="21"/>
      <c r="M14" s="21">
        <f t="shared" si="0"/>
        <v>4603.780971696985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0.12232125312975989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0.16098507140522508</v>
      </c>
      <c r="C18" s="23"/>
      <c r="D18" s="23">
        <f t="shared" ref="D18:M18" si="1">D14*D16</f>
        <v>0.84419468859087865</v>
      </c>
      <c r="E18" s="23">
        <f t="shared" si="1"/>
        <v>112.31574559471706</v>
      </c>
      <c r="F18" s="23"/>
      <c r="G18" s="23">
        <f t="shared" si="1"/>
        <v>24434.772236392051</v>
      </c>
      <c r="H18" s="23">
        <f t="shared" si="1"/>
        <v>3577.9508466307652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1.3416778516950979E-5</v>
      </c>
      <c r="C50" s="315">
        <f t="shared" ref="C50:P50" si="2">SUM(C51:C52)</f>
        <v>0</v>
      </c>
      <c r="D50" s="315">
        <f t="shared" si="2"/>
        <v>0</v>
      </c>
      <c r="E50" s="315">
        <f t="shared" si="2"/>
        <v>0</v>
      </c>
      <c r="F50" s="315">
        <f t="shared" si="2"/>
        <v>0</v>
      </c>
      <c r="G50" s="315">
        <f t="shared" si="2"/>
        <v>2.9106353966966343E-3</v>
      </c>
      <c r="H50" s="315">
        <f t="shared" si="2"/>
        <v>0</v>
      </c>
      <c r="I50" s="315">
        <f t="shared" si="2"/>
        <v>0</v>
      </c>
      <c r="J50" s="315">
        <f t="shared" si="2"/>
        <v>0</v>
      </c>
      <c r="K50" s="315">
        <f t="shared" si="2"/>
        <v>0</v>
      </c>
      <c r="L50" s="315">
        <f t="shared" si="2"/>
        <v>0</v>
      </c>
      <c r="M50" s="315">
        <f t="shared" si="2"/>
        <v>1.2462222721116223E-4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1.3416778516950979E-5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2.9106353966966343E-3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1.2462222721116223E-4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3.7268829213752719</v>
      </c>
      <c r="C54" s="21">
        <f t="shared" ref="C54:P54" si="3">(C50)*10^9/3600</f>
        <v>0</v>
      </c>
      <c r="D54" s="21">
        <f t="shared" si="3"/>
        <v>0</v>
      </c>
      <c r="E54" s="21">
        <f t="shared" si="3"/>
        <v>0</v>
      </c>
      <c r="F54" s="21">
        <f t="shared" si="3"/>
        <v>0</v>
      </c>
      <c r="G54" s="21">
        <f t="shared" si="3"/>
        <v>808.50983241573169</v>
      </c>
      <c r="H54" s="21">
        <f t="shared" si="3"/>
        <v>0</v>
      </c>
      <c r="I54" s="21">
        <f t="shared" si="3"/>
        <v>0</v>
      </c>
      <c r="J54" s="21">
        <f t="shared" si="3"/>
        <v>0</v>
      </c>
      <c r="K54" s="21">
        <f t="shared" si="3"/>
        <v>0</v>
      </c>
      <c r="L54" s="21">
        <f t="shared" si="3"/>
        <v>0</v>
      </c>
      <c r="M54" s="21">
        <f t="shared" si="3"/>
        <v>34.617285336433952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0.12232125312975989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0.45587698921052366</v>
      </c>
      <c r="C58" s="23">
        <f t="shared" ref="C58:P58" ca="1" si="4">C54*C56</f>
        <v>0</v>
      </c>
      <c r="D58" s="23">
        <f t="shared" si="4"/>
        <v>0</v>
      </c>
      <c r="E58" s="23">
        <f t="shared" si="4"/>
        <v>0</v>
      </c>
      <c r="F58" s="23">
        <f t="shared" si="4"/>
        <v>0</v>
      </c>
      <c r="G58" s="23">
        <f t="shared" si="4"/>
        <v>215.87212525500038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998.43337037727451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5616</v>
      </c>
      <c r="C8" s="546">
        <f>B48</f>
        <v>0</v>
      </c>
      <c r="D8" s="965"/>
      <c r="E8" s="965">
        <f>E48</f>
        <v>0</v>
      </c>
      <c r="F8" s="966"/>
      <c r="G8" s="547"/>
      <c r="H8" s="965">
        <f>I48</f>
        <v>0</v>
      </c>
      <c r="I8" s="965">
        <f>G48+F48</f>
        <v>0</v>
      </c>
      <c r="J8" s="965">
        <f>H48+D48+C48</f>
        <v>6607.0588235294117</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2808</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7020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9422.4333703772754</v>
      </c>
      <c r="C10" s="558">
        <f t="shared" ref="C10:L10" si="0">SUM(C8:C9)</f>
        <v>0</v>
      </c>
      <c r="D10" s="558">
        <f t="shared" si="0"/>
        <v>0</v>
      </c>
      <c r="E10" s="558">
        <f t="shared" si="0"/>
        <v>0</v>
      </c>
      <c r="F10" s="558">
        <f t="shared" si="0"/>
        <v>0</v>
      </c>
      <c r="G10" s="558">
        <f t="shared" si="0"/>
        <v>0</v>
      </c>
      <c r="H10" s="558">
        <f t="shared" si="0"/>
        <v>0</v>
      </c>
      <c r="I10" s="558">
        <f t="shared" si="0"/>
        <v>0</v>
      </c>
      <c r="J10" s="558">
        <f t="shared" si="0"/>
        <v>13627.058823529413</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8022.8571428571431</v>
      </c>
      <c r="C17" s="570">
        <f>B49</f>
        <v>0</v>
      </c>
      <c r="D17" s="571"/>
      <c r="E17" s="571">
        <f>E49</f>
        <v>0</v>
      </c>
      <c r="F17" s="572"/>
      <c r="G17" s="573"/>
      <c r="H17" s="570">
        <f>I49</f>
        <v>0</v>
      </c>
      <c r="I17" s="571">
        <f>G49+F49</f>
        <v>0</v>
      </c>
      <c r="J17" s="571">
        <f>H49+D49+C49</f>
        <v>9438.6554621848754</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8022.8571428571431</v>
      </c>
      <c r="C20" s="557">
        <f>SUM(C17:C19)</f>
        <v>0</v>
      </c>
      <c r="D20" s="557">
        <f t="shared" ref="D20:L20" si="1">SUM(D17:D19)</f>
        <v>0</v>
      </c>
      <c r="E20" s="557">
        <f t="shared" si="1"/>
        <v>0</v>
      </c>
      <c r="F20" s="557">
        <f t="shared" si="1"/>
        <v>0</v>
      </c>
      <c r="G20" s="557">
        <f t="shared" si="1"/>
        <v>0</v>
      </c>
      <c r="H20" s="557">
        <f t="shared" si="1"/>
        <v>0</v>
      </c>
      <c r="I20" s="557">
        <f t="shared" si="1"/>
        <v>0</v>
      </c>
      <c r="J20" s="557">
        <f t="shared" si="1"/>
        <v>9438.6554621848754</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24016</v>
      </c>
      <c r="C28" s="777">
        <v>3370</v>
      </c>
      <c r="D28" s="630" t="s">
        <v>983</v>
      </c>
      <c r="E28" s="629" t="s">
        <v>984</v>
      </c>
      <c r="F28" s="629" t="s">
        <v>985</v>
      </c>
      <c r="G28" s="629" t="s">
        <v>986</v>
      </c>
      <c r="H28" s="629" t="s">
        <v>987</v>
      </c>
      <c r="I28" s="629" t="s">
        <v>988</v>
      </c>
      <c r="J28" s="776">
        <v>40049</v>
      </c>
      <c r="K28" s="776">
        <v>40168</v>
      </c>
      <c r="L28" s="629" t="s">
        <v>989</v>
      </c>
      <c r="M28" s="629">
        <v>1248</v>
      </c>
      <c r="N28" s="629">
        <v>5616</v>
      </c>
      <c r="O28" s="629">
        <v>8022.8571428571431</v>
      </c>
      <c r="P28" s="629">
        <v>0</v>
      </c>
      <c r="Q28" s="629">
        <v>16045.714285714286</v>
      </c>
      <c r="R28" s="629">
        <v>0</v>
      </c>
      <c r="S28" s="629">
        <v>0</v>
      </c>
      <c r="T28" s="629">
        <v>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1248</v>
      </c>
      <c r="N29" s="587">
        <f>SUM(N28:N28)</f>
        <v>5616</v>
      </c>
      <c r="O29" s="587">
        <f>SUM(O28:O28)</f>
        <v>8022.8571428571431</v>
      </c>
      <c r="P29" s="587">
        <f>SUM(P28:P28)</f>
        <v>0</v>
      </c>
      <c r="Q29" s="587">
        <f>SUM(Q28:Q28)</f>
        <v>16045.714285714286</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1248</v>
      </c>
      <c r="N32" s="592">
        <f>SUMIF($Z$28:$Z$28,"landbouw",N28:N28)</f>
        <v>5616</v>
      </c>
      <c r="O32" s="592">
        <f>SUMIF($Z$28:$Z$28,"landbouw",O28:O28)</f>
        <v>8022.8571428571431</v>
      </c>
      <c r="P32" s="592">
        <f>SUMIF($Z$28:$Z$28,"landbouw",P28:P28)</f>
        <v>0</v>
      </c>
      <c r="Q32" s="592">
        <f>SUMIF($Z$28:$Z$28,"landbouw",Q28:Q28)</f>
        <v>16045.714285714286</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24016</v>
      </c>
      <c r="C35" s="777">
        <v>3370</v>
      </c>
      <c r="D35" s="632" t="s">
        <v>983</v>
      </c>
      <c r="E35" s="632" t="s">
        <v>988</v>
      </c>
      <c r="F35" s="632" t="s">
        <v>990</v>
      </c>
      <c r="G35" s="632" t="s">
        <v>991</v>
      </c>
      <c r="H35" s="632" t="s">
        <v>992</v>
      </c>
      <c r="I35" s="632" t="s">
        <v>988</v>
      </c>
      <c r="J35" s="776">
        <v>39675</v>
      </c>
      <c r="K35" s="776">
        <v>40704</v>
      </c>
      <c r="L35" s="632" t="s">
        <v>993</v>
      </c>
      <c r="M35" s="632">
        <v>1248</v>
      </c>
      <c r="N35" s="632">
        <v>2808</v>
      </c>
      <c r="O35" s="632">
        <v>0</v>
      </c>
      <c r="P35" s="632">
        <v>0</v>
      </c>
      <c r="Q35" s="632">
        <v>0</v>
      </c>
      <c r="R35" s="632">
        <v>0</v>
      </c>
      <c r="S35" s="632">
        <v>0</v>
      </c>
      <c r="T35" s="632">
        <v>0</v>
      </c>
      <c r="U35" s="632">
        <v>0</v>
      </c>
      <c r="V35" s="632">
        <v>7020</v>
      </c>
      <c r="W35" s="632">
        <v>0</v>
      </c>
      <c r="X35" s="632">
        <v>10</v>
      </c>
      <c r="Y35" s="632" t="s">
        <v>111</v>
      </c>
      <c r="Z35" s="633" t="s">
        <v>111</v>
      </c>
    </row>
    <row r="36" spans="1:27" s="565" customFormat="1">
      <c r="A36" s="585" t="s">
        <v>275</v>
      </c>
      <c r="B36" s="586"/>
      <c r="C36" s="586"/>
      <c r="D36" s="586"/>
      <c r="E36" s="586"/>
      <c r="F36" s="586"/>
      <c r="G36" s="586"/>
      <c r="H36" s="586"/>
      <c r="I36" s="586"/>
      <c r="J36" s="586"/>
      <c r="K36" s="586"/>
      <c r="L36" s="587"/>
      <c r="M36" s="587">
        <f>SUM(M35:M35)</f>
        <v>1248</v>
      </c>
      <c r="N36" s="587">
        <f>SUM(N35:N35)</f>
        <v>2808</v>
      </c>
      <c r="O36" s="587">
        <f>SUM(O35:O35)</f>
        <v>0</v>
      </c>
      <c r="P36" s="587">
        <f>SUM(P35:P35)</f>
        <v>0</v>
      </c>
      <c r="Q36" s="587">
        <f>SUM(Q35:Q35)</f>
        <v>0</v>
      </c>
      <c r="R36" s="587">
        <f>SUM(R35:R35)</f>
        <v>0</v>
      </c>
      <c r="S36" s="587">
        <f>SUM(S35:S35)</f>
        <v>0</v>
      </c>
      <c r="T36" s="587">
        <f>SUM(T35:T35)</f>
        <v>0</v>
      </c>
      <c r="U36" s="587">
        <f>SUM(U35:U35)</f>
        <v>0</v>
      </c>
      <c r="V36" s="587">
        <f>SUM(V35:V35)</f>
        <v>7020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1248</v>
      </c>
      <c r="N39" s="592">
        <f>SUMIF($Z$35:$Z$37,"landbouw",N35:N37)</f>
        <v>2808</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7020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6607.0588235294117</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9438.6554621848754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2021-06-29T16:56:30Z</dcterms:modified>
</cp:coreProperties>
</file>