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2"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<sst xmlns="http://schemas.openxmlformats.org/spreadsheetml/2006/main" count="2590" uniqueCount="990">
  <si>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</si>
  <si>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</si>
  <si>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</si>
  <si>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</si>
  <si>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</si>
  <si>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</si>
  <si>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</si>
  <si>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</si>
  <si>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</si>
  <si>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</si>
  <si>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</si>
  <si>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</si>
  <si>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</si>
  <si>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</si>
  <si>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</si>
  <si>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</si>
  <si>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</si>
  <si>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</si>
  <si>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</si>
  <si>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</si>
  <si>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</si>
  <si>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</si>
  <si>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</si>
  <si>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</si>
  <si>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</si>
  <si>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</si>
  <si>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</si>
  <si>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</si>
  <si>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</si>
  <si>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</si>
  <si>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</si>
  <si>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</si>
  <si>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</si>
  <si>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</si>
  <si>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</si>
  <si>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</si>
  <si>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</si>
  <si>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</si>
  <si>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</si>
  <si>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</si>
  <si>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</si>
  <si>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</si>
  <si>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</si>
  <si>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</si>
  <si>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</si>
  <si>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</si>
  <si>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</si>
  <si>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</si>
  <si>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</si>
  <si>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</si>
  <si>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</si>
  <si>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</si>
  <si>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</si>
  <si>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</si>
  <si>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</si>
  <si>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</si>
  <si>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</si>
  <si>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</si>
  <si>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</si>
  <si>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</si>
  <si>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</si>
  <si>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</si>
  <si>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</si>
  <si>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</si>
  <si>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</si>
  <si>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</si>
  <si>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</si>
  <si>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</si>
  <si>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</si>
  <si>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</si>
  <si>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</si>
  <si>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</si>
  <si>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</si>
  <si>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</si>
  <si>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</si>
  <si>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</si>
  <si>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</si>
  <si>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</si>
  <si>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</si>
  <si>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</si>
  <si>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</si>
  <si>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</si>
  <si>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</si>
  <si>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</si>
  <si>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</si>
  <si>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</si>
  <si>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</si>
  <si>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</si>
  <si>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</si>
  <si>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</si>
  <si>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</si>
  <si>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</si>
  <si>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</si>
  <si>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</si>
  <si>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</si>
  <si>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</si>
  <si>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</si>
  <si>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</si>
  <si>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</si>
  <si>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</si>
  <si>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</si>
  <si>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</si>
  <si>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</si>
  <si>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</si>
  <si>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</si>
  <si>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</si>
  <si>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</si>
  <si>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</si>
  <si>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</si>
  <si>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</si>
  <si>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</si>
  <si>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</si>
  <si>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</si>
  <si>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</si>
  <si>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</si>
  <si>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</si>
  <si>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</si>
  <si>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</si>
  <si>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</si>
  <si>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</si>
  <si>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</si>
  <si>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</si>
  <si>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</si>
  <si>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</si>
  <si>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</si>
  <si>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</si>
  <si>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</si>
  <si>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</si>
  <si>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</si>
  <si>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</si>
  <si>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</si>
  <si>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</si>
  <si>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</si>
  <si>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</si>
  <si>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</si>
  <si>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</si>
  <si>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</si>
  <si>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</si>
  <si>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</si>
  <si>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</si>
  <si>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</si>
  <si>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</si>
  <si>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</si>
  <si>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</si>
  <si>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</si>
  <si>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</si>
  <si>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</si>
  <si>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</si>
  <si>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</si>
  <si>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</si>
  <si>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</si>
  <si>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</si>
  <si>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</si>
  <si>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</si>
  <si>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</si>
  <si>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</si>
  <si>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</si>
  <si>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</si>
  <si>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</si>
  <si>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</si>
  <si>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</si>
  <si>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</si>
  <si>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</si>
  <si>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</si>
  <si>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</si>
  <si>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</si>
  <si>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</si>
  <si>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</si>
  <si>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</si>
  <si>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</si>
  <si>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</si>
  <si>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</si>
  <si>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</si>
  <si>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</si>
  <si>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</si>
  <si>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</si>
  <si>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</si>
  <si>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</si>
  <si>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</si>
  <si>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</si>
  <si>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</si>
  <si>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</si>
  <si>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</si>
  <si>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</si>
  <si>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</si>
  <si>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</si>
  <si>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</si>
  <si>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</si>
  <si>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</si>
  <si>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</si>
  <si>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</si>
  <si>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</si>
  <si>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</si>
  <si>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</si>
  <si>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</si>
  <si>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</si>
  <si>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</si>
  <si>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</si>
  <si>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</si>
  <si>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</si>
  <si>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</si>
  <si>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</si>
  <si>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</si>
  <si>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</si>
  <si>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</si>
  <si>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</si>
  <si>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</si>
  <si>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</si>
  <si>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</si>
  <si>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</si>
  <si>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</si>
  <si>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</si>
  <si>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</si>
  <si>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</si>
  <si>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</si>
  <si>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</si>
  <si>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</si>
  <si>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</si>
  <si>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</si>
  <si>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</si>
  <si>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</si>
  <si>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</si>
  <si>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</si>
  <si>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</si>
  <si>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</si>
  <si>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</si>
  <si>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</si>
  <si>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</si>
  <si>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</si>
  <si>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</si>
  <si>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</si>
  <si>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</si>
  <si>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</si>
  <si>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</si>
  <si>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</si>
  <si>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</si>
  <si>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</si>
  <si>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</si>
  <si>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</si>
  <si>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</si>
  <si>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</si>
  <si>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</si>
  <si>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</si>
  <si>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</si>
  <si>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</si>
  <si>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</si>
  <si>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</si>
  <si>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</si>
  <si>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</si>
  <si>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</si>
  <si>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</si>
  <si>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</si>
  <si>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</si>
  <si>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</si>
  <si>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</si>
  <si>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</si>
  <si>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</si>
  <si>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</si>
  <si>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</si>
  <si>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</si>
  <si>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</si>
  <si>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</si>
  <si>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</si>
  <si>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</si>
  <si>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</si>
  <si>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</si>
  <si>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</si>
  <si>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</si>
  <si>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</si>
  <si>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</si>
  <si>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</si>
  <si>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</si>
  <si>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</si>
  <si>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</si>
  <si>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</si>
  <si>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</si>
  <si>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</si>
  <si>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</si>
  <si>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</si>
  <si>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</si>
  <si>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</si>
  <si>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</si>
  <si>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</si>
  <si>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</si>
  <si>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</si>
  <si>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</si>
  <si>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</si>
  <si>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</si>
  <si>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</si>
  <si>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</si>
  <si>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</si>
  <si>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</si>
  <si>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</si>
  <si>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</si>
  <si>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</si>
  <si>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</si>
  <si>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</si>
  <si>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</si>
  <si>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</si>
  <si>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</si>
  <si>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</si>
  <si>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</si>
  <si>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</si>
  <si>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</si>
  <si>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</si>
  <si>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</si>
  <si>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</si>
  <si>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</si>
  <si>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</si>
  <si>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</si>
  <si>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</si>
  <si>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</si>
  <si>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</si>
  <si>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</si>
  <si>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</si>
  <si>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</si>
  <si>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</si>
  <si>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</si>
  <si>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</si>
  <si>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</si>
  <si>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</si>
  <si>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</si>
  <si>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</si>
  <si>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</si>
  <si>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</si>
  <si>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</si>
  <si>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</si>
  <si>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</si>
  <si>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</si>
  <si>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</si>
  <si>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</si>
  <si>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</si>
  <si>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</si>
  <si>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</si>
  <si>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</si>
  <si>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</si>
  <si>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</si>
  <si>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</si>
  <si>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</si>
  <si>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</si>
  <si>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</si>
  <si>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</si>
  <si>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</si>
  <si>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</si>
  <si>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</si>
  <si>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</si>
  <si>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</si>
  <si>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</si>
  <si>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</si>
  <si>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</si>
  <si>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</si>
  <si>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</si>
  <si>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</si>
  <si>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</si>
  <si>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</si>
  <si>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</si>
  <si>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</si>
  <si>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</si>
  <si>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</si>
  <si>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</si>
  <si>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</si>
  <si>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</si>
  <si>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</si>
  <si>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</si>
  <si>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</si>
  <si>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</si>
  <si>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</si>
  <si>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</si>
  <si>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</si>
  <si>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</si>
  <si>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</si>
  <si>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</si>
  <si>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</si>
  <si>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</si>
  <si>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</si>
  <si>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</si>
  <si>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</si>
  <si>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</si>
  <si>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</si>
  <si>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</si>
  <si>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</si>
  <si>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</si>
  <si>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</si>
  <si>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</si>
  <si>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</si>
  <si>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</si>
  <si>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</si>
  <si>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</si>
  <si>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</si>
  <si>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</si>
  <si>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</si>
  <si>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</si>
  <si>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</si>
  <si>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</si>
  <si>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</si>
  <si>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</si>
  <si>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</si>
  <si>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</si>
  <si>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</si>
  <si>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</si>
  <si>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</si>
  <si>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</si>
  <si>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</si>
  <si>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</si>
  <si>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</si>
  <si>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</si>
  <si>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</si>
  <si>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</si>
  <si>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</si>
  <si>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</si>
  <si>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</si>
  <si>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</si>
  <si>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</si>
  <si>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</si>
  <si>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</si>
  <si>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</si>
  <si>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</si>
  <si>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</si>
  <si>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</si>
  <si>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</si>
  <si>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</si>
  <si>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</si>
  <si>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</si>
  <si>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</si>
  <si>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</si>
  <si>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</si>
  <si>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</si>
  <si>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</si>
  <si>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</si>
  <si>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</si>
  <si>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</si>
  <si>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</si>
  <si>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</si>
  <si>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</si>
  <si>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</si>
  <si>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</si>
  <si>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</si>
  <si>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</si>
  <si>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</si>
  <si>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</si>
  <si>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</si>
  <si>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</si>
  <si>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</si>
  <si>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</si>
  <si>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</si>
  <si>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</si>
  <si>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</si>
  <si>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</si>
  <si>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</si>
  <si>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</si>
  <si>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</si>
  <si>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</si>
  <si>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</si>
  <si>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</si>
  <si>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</si>
  <si>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</si>
  <si>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</si>
  <si>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</si>
  <si>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</si>
  <si>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</si>
  <si>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</si>
  <si>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</si>
  <si>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</si>
  <si>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</si>
  <si>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</si>
  <si>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</si>
  <si>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</si>
  <si>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</si>
  <si>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</si>
  <si>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</si>
  <si>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</si>
  <si>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</si>
  <si>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</si>
  <si>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</si>
  <si>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</si>
  <si>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</si>
  <si>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</si>
  <si>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</si>
  <si>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</si>
  <si>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</si>
  <si>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</si>
  <si>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</si>
  <si>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</si>
  <si>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</si>
  <si>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</si>
  <si>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</si>
  <si>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</si>
  <si>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</si>
  <si>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</si>
  <si>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</si>
  <si>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</si>
  <si>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</si>
  <si>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</si>
  <si>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</si>
  <si>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</si>
  <si>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</si>
  <si>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</si>
  <si>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</si>
  <si>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</si>
  <si>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</si>
  <si>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</si>
  <si>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</si>
  <si>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</si>
  <si>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</si>
  <si>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</si>
  <si>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</si>
  <si>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</si>
  <si>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</si>
  <si>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</si>
  <si>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</si>
  <si>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</si>
  <si>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</si>
  <si>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</si>
  <si>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</si>
  <si>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</si>
  <si>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</si>
  <si>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</si>
  <si>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</si>
  <si>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</si>
  <si>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</si>
  <si>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</si>
  <si>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</si>
  <si>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</si>
  <si>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</si>
  <si>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</si>
  <si>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</si>
  <si>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</si>
  <si>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</si>
  <si>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</si>
  <si>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</si>
  <si>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</si>
  <si>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</si>
  <si>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</si>
  <si>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</si>
  <si>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</si>
  <si>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</si>
  <si>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</si>
  <si>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</si>
  <si>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</si>
  <si>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</si>
  <si>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</si>
  <si>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</si>
  <si>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</si>
  <si>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</si>
  <si>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</si>
  <si>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</si>
  <si>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</si>
  <si>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</si>
  <si>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</si>
  <si>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</si>
  <si>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</si>
  <si>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</si>
  <si>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</si>
  <si>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</si>
  <si>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</si>
  <si>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</si>
  <si>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</si>
  <si>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</si>
  <si>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</si>
  <si>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</si>
  <si>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</si>
  <si>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</si>
  <si>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</si>
  <si>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</si>
  <si>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</si>
  <si>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</si>
  <si>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</si>
  <si>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</si>
  <si>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</si>
  <si>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</si>
  <si>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</si>
  <si>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</si>
  <si>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</si>
  <si>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</si>
  <si>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</si>
  <si>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</si>
  <si>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</si>
  <si>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</si>
  <si>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</si>
  <si>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</si>
  <si>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</si>
  <si>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</si>
  <si>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</si>
  <si>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</si>
  <si>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</si>
  <si>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</si>
  <si>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</si>
  <si>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</si>
  <si>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</si>
  <si>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</si>
  <si>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</si>
  <si>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</si>
  <si>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</si>
  <si>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</si>
  <si>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</si>
  <si>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</si>
  <si>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</si>
  <si>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</si>
  <si>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</si>
  <si>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</si>
  <si>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</si>
  <si>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</si>
  <si>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</si>
  <si>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</si>
  <si>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</si>
  <si>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</si>
  <si>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</si>
  <si>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</si>
  <si>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</si>
  <si>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</si>
  <si>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</si>
  <si>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</si>
  <si>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</si>
  <si>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</si>
  <si>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</si>
  <si>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</si>
  <si>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</si>
  <si>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</si>
  <si>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</si>
  <si>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</si>
  <si>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</si>
  <si>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</si>
  <si>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</si>
  <si>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</si>
  <si>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</si>
  <si>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</si>
  <si>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</si>
  <si>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</si>
  <si>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</si>
  <si>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</si>
  <si>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</si>
  <si>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</si>
  <si>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</si>
  <si>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</si>
  <si>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</si>
  <si>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</si>
  <si>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</si>
  <si>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</si>
  <si>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</si>
  <si>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</si>
  <si>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</si>
  <si>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</si>
  <si>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</si>
  <si>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</si>
  <si>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</si>
  <si>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</si>
  <si>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</si>
  <si>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</si>
  <si>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</si>
  <si>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</si>
  <si>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</si>
  <si>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</si>
  <si>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</si>
  <si>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</si>
  <si>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</si>
  <si>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</si>
  <si>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</si>
  <si>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</si>
  <si>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</si>
  <si>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</si>
  <si>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</si>
  <si>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</si>
  <si>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</si>
  <si>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</si>
  <si>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</si>
  <si>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</si>
  <si>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</si>
  <si>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</si>
  <si>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</si>
  <si>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</si>
  <si>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</si>
  <si>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</si>
  <si>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</si>
  <si>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</si>
  <si>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</si>
  <si>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</si>
  <si>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</si>
  <si>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</si>
  <si>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</si>
  <si>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</si>
  <si>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</si>
  <si>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</si>
  <si>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</si>
  <si>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</si>
  <si>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</si>
  <si>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</si>
  <si>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</si>
  <si>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</si>
  <si>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</si>
  <si>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</si>
  <si>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</si>
  <si>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</si>
  <si>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</si>
  <si>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</si>
  <si>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</si>
  <si>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</si>
  <si>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</si>
  <si>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</si>
  <si>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</si>
  <si>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</si>
  <si>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</si>
  <si>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</si>
  <si>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</si>
  <si>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</si>
  <si>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</si>
  <si>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</si>
  <si>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</si>
  <si>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</si>
  <si>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</si>
  <si>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</si>
  <si>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</si>
  <si>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</si>
  <si>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</si>
  <si>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</si>
  <si>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</si>
  <si>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</si>
  <si>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</si>
  <si>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</si>
  <si>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</si>
  <si>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</si>
  <si>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</si>
  <si>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</si>
  <si>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</si>
  <si>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</si>
  <si>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</si>
  <si>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</si>
  <si>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</si>
  <si>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</si>
  <si>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</si>
  <si>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</si>
  <si>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</si>
  <si>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</si>
  <si>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</si>
  <si>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</si>
  <si>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</si>
  <si>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</si>
  <si>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</si>
  <si>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</si>
  <si>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</si>
  <si>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</si>
  <si>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</si>
  <si>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</si>
  <si>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</si>
  <si>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</si>
  <si>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</si>
  <si>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</si>
  <si>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</si>
  <si>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</si>
  <si>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</si>
  <si>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</si>
  <si>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</si>
  <si>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</si>
  <si>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</si>
  <si>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</si>
  <si>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</si>
  <si>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</si>
  <si>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</si>
  <si>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</si>
  <si>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</si>
  <si>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</si>
  <si>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</si>
  <si>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</si>
  <si>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</si>
  <si>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</si>
  <si>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</si>
  <si>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</si>
  <si>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</si>
  <si>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</si>
  <si>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</si>
  <si>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</si>
  <si>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</si>
  <si>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</si>
  <si>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</si>
  <si>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</si>
  <si>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</si>
  <si>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</si>
  <si>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</si>
  <si>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</si>
  <si>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</si>
  <si>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</si>
  <si>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</si>
  <si>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</si>
  <si>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</si>
  <si>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</si>
  <si>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</si>
  <si>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</si>
  <si>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</si>
  <si>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</si>
  <si>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</si>
  <si>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</si>
  <si>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</si>
  <si>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</si>
  <si>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</si>
  <si>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</si>
  <si>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</si>
  <si>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</si>
  <si>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</si>
  <si>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</si>
  <si>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</si>
  <si>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</si>
  <si>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</si>
  <si>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</si>
  <si>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</si>
  <si>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</si>
  <si>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</si>
  <si>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</si>
  <si>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</si>
  <si>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</si>
  <si>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</si>
  <si>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</si>
  <si>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</si>
  <si>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</si>
  <si>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</si>
  <si>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</si>
  <si>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</si>
  <si>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</si>
  <si>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</si>
  <si>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</si>
  <si>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</si>
  <si>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</si>
  <si>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</si>
  <si>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</si>
  <si>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</si>
  <si>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</si>
  <si>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</si>
  <si>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</si>
  <si>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</si>
  <si>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</si>
  <si>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</si>
  <si>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</si>
  <si>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</si>
  <si>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</si>
  <si>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</si>
  <si>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</si>
  <si>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</si>
  <si>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</si>
  <si>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</si>
  <si>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</si>
  <si>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</si>
  <si>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</si>
  <si>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</si>
  <si>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</si>
  <si>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</si>
  <si>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</si>
  <si>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</si>
  <si>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</si>
  <si>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</si>
  <si>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</si>
  <si>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</si>
  <si>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</si>
  <si>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</si>
  <si>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</si>
  <si>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</si>
  <si>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</si>
  <si>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</si>
  <si>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</si>
  <si>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</si>
  <si>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</si>
  <si>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</si>
  <si>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</si>
  <si>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</si>
  <si>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</si>
  <si>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</si>
  <si>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</si>
  <si>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</si>
  <si>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</si>
  <si>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</si>
  <si>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</si>
  <si>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</si>
  <si>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</si>
  <si>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</si>
  <si>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</si>
  <si>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</si>
  <si>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</si>
  <si>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</si>
  <si>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</si>
  <si>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</si>
  <si>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</si>
  <si>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</si>
  <si>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</si>
  <si>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</si>
  <si>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</si>
  <si>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</si>
  <si>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</si>
  <si>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</si>
  <si>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</si>
  <si>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</si>
  <si>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</si>
  <si>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</si>
  <si>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</si>
  <si>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</si>
  <si>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</si>
  <si>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</si>
  <si>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</si>
  <si>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</si>
  <si>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</si>
  <si>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</si>
  <si>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</si>
  <si>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</si>
  <si>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</si>
  <si>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</si>
  <si>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</si>
  <si>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</si>
  <si>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</si>
  <si>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</si>
  <si>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</si>
  <si>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</si>
  <si>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</si>
  <si>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</si>
  <si>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</si>
  <si>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</si>
  <si>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</si>
  <si>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</si>
  <si>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</si>
  <si>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</si>
  <si>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</si>
  <si>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</si>
  <si>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</si>
  <si>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</si>
  <si>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</si>
  <si>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</si>
  <si>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</si>
  <si>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</si>
  <si>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</si>
  <si>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</si>
  <si>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</si>
  <si>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</si>
  <si>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</si>
  <si>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</si>
  <si>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</si>
  <si>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</si>
  <si>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</si>
  <si>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</si>
  <si>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</si>
  <si>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</si>
  <si>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</si>
  <si>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</si>
  <si>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</si>
  <si>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</si>
  <si>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</si>
  <si>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</si>
  <si>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</si>
  <si>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</si>
  <si>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</si>
  <si>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</si>
  <si>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</si>
  <si>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</si>
  <si>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</si>
  <si>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</si>
  <si>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</si>
  <si>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</si>
  <si>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</si>
  <si>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</si>
  <si>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</si>
  <si>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</si>
  <si>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</si>
  <si>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</si>
  <si>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</si>
  <si>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</si>
  <si>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</si>
  <si>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</si>
  <si>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</si>
  <si>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</si>
  <si>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</si>
  <si>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</si>
  <si>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</si>
  <si>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</si>
  <si>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</si>
  <si>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</si>
  <si>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</si>
  <si>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</si>
  <si>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</si>
  <si>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</si>
  <si>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</si>
  <si>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</si>
  <si>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</si>
  <si>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23088</t>
  </si>
  <si>
    <t>VILVOORDE</t>
  </si>
  <si>
    <t>Paarden&amp;pony's 200 - 600 kg</t>
  </si>
  <si>
    <t>Paarden&amp;pony's &lt; 200 kg</t>
  </si>
  <si>
    <t>Fluvius</t>
  </si>
  <si>
    <t xml:space="preserve">Bron: </t>
  </si>
  <si>
    <t>referentietaak LNE (2017); Jaarverslag De Lijn</t>
  </si>
  <si>
    <t>TEM Technilift nv</t>
  </si>
  <si>
    <t>De Fierlantstraat 112, 1190 Brussel</t>
  </si>
  <si>
    <t>WKK-0011 Kwart. Majoor Housiau</t>
  </si>
  <si>
    <t>interne verbrandingsmotor</t>
  </si>
  <si>
    <t>WKK interne verbrandinsgmotor (gas)</t>
  </si>
  <si>
    <t>Martelarenstraat 181, 1800 Vilvoorde</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</si>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</sst>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23088</v>
      </c>
      <c r="B6" s="386"/>
      <c r="C6" s="387"/>
    </row>
    <row r="7" spans="1:7" s="384" customFormat="1" ht="15.75" customHeight="1">
      <c r="A7" s="388" t="str">
        <f>txtMunicipality</f>
        <v>VILVOORDE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99220.485877075189</v>
      </c>
      <c r="D10" s="676">
        <f ca="1">tertiair!C16</f>
        <v>1928.5714285714287</v>
      </c>
      <c r="E10" s="676">
        <f ca="1">tertiair!D16</f>
        <v>112443.17778291737</v>
      </c>
      <c r="F10" s="676">
        <f>tertiair!E16</f>
        <v>2428.9520147677285</v>
      </c>
      <c r="G10" s="676">
        <f ca="1">tertiair!F16</f>
        <v>17237.769857299263</v>
      </c>
      <c r="H10" s="676">
        <f>tertiair!G16</f>
        <v>0</v>
      </c>
      <c r="I10" s="676">
        <f>tertiair!H16</f>
        <v>0</v>
      </c>
      <c r="J10" s="676">
        <f>tertiair!I16</f>
        <v>0</v>
      </c>
      <c r="K10" s="676">
        <f>tertiair!J16</f>
        <v>0</v>
      </c>
      <c r="L10" s="676">
        <f>tertiair!K16</f>
        <v>0</v>
      </c>
      <c r="M10" s="676">
        <f ca="1">tertiair!L16</f>
        <v>0</v>
      </c>
      <c r="N10" s="676">
        <f>tertiair!M16</f>
        <v>0</v>
      </c>
      <c r="O10" s="676">
        <f ca="1">tertiair!N16</f>
        <v>1621.8690606777413</v>
      </c>
      <c r="P10" s="676">
        <f>tertiair!O16</f>
        <v>0</v>
      </c>
      <c r="Q10" s="677">
        <f>tertiair!P16</f>
        <v>76.266666666666666</v>
      </c>
      <c r="R10" s="679">
        <f ca="1">SUM(C10:Q10)</f>
        <v>234957.09268797538</v>
      </c>
      <c r="S10" s="67"/>
    </row>
    <row r="11" spans="1:19" s="445" customFormat="1">
      <c r="A11" s="791" t="s">
        <v>220</v>
      </c>
      <c r="B11" s="796"/>
      <c r="C11" s="676">
        <f>huishoudens!B8</f>
        <v>56502.697342076448</v>
      </c>
      <c r="D11" s="676">
        <f>huishoudens!C8</f>
        <v>0</v>
      </c>
      <c r="E11" s="676">
        <f>huishoudens!D8</f>
        <v>179537.43752492519</v>
      </c>
      <c r="F11" s="676">
        <f>huishoudens!E8</f>
        <v>1514.5875237789855</v>
      </c>
      <c r="G11" s="676">
        <f>huishoudens!F8</f>
        <v>51699.529770326146</v>
      </c>
      <c r="H11" s="676">
        <f>huishoudens!G8</f>
        <v>0</v>
      </c>
      <c r="I11" s="676">
        <f>huishoudens!H8</f>
        <v>0</v>
      </c>
      <c r="J11" s="676">
        <f>huishoudens!I8</f>
        <v>0</v>
      </c>
      <c r="K11" s="676">
        <f>huishoudens!J8</f>
        <v>1164.1423372725519</v>
      </c>
      <c r="L11" s="676">
        <f>huishoudens!K8</f>
        <v>0</v>
      </c>
      <c r="M11" s="676">
        <f>huishoudens!L8</f>
        <v>0</v>
      </c>
      <c r="N11" s="676">
        <f>huishoudens!M8</f>
        <v>0</v>
      </c>
      <c r="O11" s="676">
        <f>huishoudens!N8</f>
        <v>18141.104365829116</v>
      </c>
      <c r="P11" s="676">
        <f>huishoudens!O8</f>
        <v>57.843333333333334</v>
      </c>
      <c r="Q11" s="677">
        <f>huishoudens!P8</f>
        <v>95.333333333333343</v>
      </c>
      <c r="R11" s="679">
        <f>SUM(C11:Q11)</f>
        <v>308712.6755308751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50383.945342081104</v>
      </c>
      <c r="D13" s="676">
        <f>industrie!C18</f>
        <v>0</v>
      </c>
      <c r="E13" s="676">
        <f>industrie!D18</f>
        <v>16609.795644905382</v>
      </c>
      <c r="F13" s="676">
        <f>industrie!E18</f>
        <v>482.62495874159106</v>
      </c>
      <c r="G13" s="676">
        <f>industrie!F18</f>
        <v>13117.127602127481</v>
      </c>
      <c r="H13" s="676">
        <f>industrie!G18</f>
        <v>0</v>
      </c>
      <c r="I13" s="676">
        <f>industrie!H18</f>
        <v>0</v>
      </c>
      <c r="J13" s="676">
        <f>industrie!I18</f>
        <v>0</v>
      </c>
      <c r="K13" s="676">
        <f>industrie!J18</f>
        <v>281.59796083799233</v>
      </c>
      <c r="L13" s="676">
        <f>industrie!K18</f>
        <v>0</v>
      </c>
      <c r="M13" s="676">
        <f>industrie!L18</f>
        <v>0</v>
      </c>
      <c r="N13" s="676">
        <f>industrie!M18</f>
        <v>0</v>
      </c>
      <c r="O13" s="676">
        <f>industrie!N18</f>
        <v>1214.4142959157352</v>
      </c>
      <c r="P13" s="676">
        <f>industrie!O18</f>
        <v>0</v>
      </c>
      <c r="Q13" s="677">
        <f>industrie!P18</f>
        <v>0</v>
      </c>
      <c r="R13" s="679">
        <f>SUM(C13:Q13)</f>
        <v>82089.505804609289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206107.12856123273</v>
      </c>
      <c r="D16" s="709">
        <f t="shared" ref="D16:R16" ca="1" si="0">SUM(D9:D15)</f>
        <v>1928.5714285714287</v>
      </c>
      <c r="E16" s="709">
        <f t="shared" ca="1" si="0"/>
        <v>308590.41095274792</v>
      </c>
      <c r="F16" s="709">
        <f t="shared" si="0"/>
        <v>4426.164497288305</v>
      </c>
      <c r="G16" s="709">
        <f t="shared" ca="1" si="0"/>
        <v>82054.427229752895</v>
      </c>
      <c r="H16" s="709">
        <f t="shared" si="0"/>
        <v>0</v>
      </c>
      <c r="I16" s="709">
        <f t="shared" si="0"/>
        <v>0</v>
      </c>
      <c r="J16" s="709">
        <f t="shared" si="0"/>
        <v>0</v>
      </c>
      <c r="K16" s="709">
        <f t="shared" si="0"/>
        <v>1445.7402981105442</v>
      </c>
      <c r="L16" s="709">
        <f t="shared" si="0"/>
        <v>0</v>
      </c>
      <c r="M16" s="709">
        <f t="shared" ca="1" si="0"/>
        <v>0</v>
      </c>
      <c r="N16" s="709">
        <f t="shared" si="0"/>
        <v>0</v>
      </c>
      <c r="O16" s="709">
        <f t="shared" ca="1" si="0"/>
        <v>20977.387722422594</v>
      </c>
      <c r="P16" s="709">
        <f t="shared" si="0"/>
        <v>57.843333333333334</v>
      </c>
      <c r="Q16" s="709">
        <f t="shared" si="0"/>
        <v>171.60000000000002</v>
      </c>
      <c r="R16" s="709">
        <f t="shared" ca="1" si="0"/>
        <v>625759.27402345976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23.232555071508934</v>
      </c>
      <c r="D19" s="676">
        <f>transport!C54</f>
        <v>0</v>
      </c>
      <c r="E19" s="676">
        <f>transport!D54</f>
        <v>0</v>
      </c>
      <c r="F19" s="676">
        <f>transport!E54</f>
        <v>0</v>
      </c>
      <c r="G19" s="676">
        <f>transport!F54</f>
        <v>0</v>
      </c>
      <c r="H19" s="676">
        <f>transport!G54</f>
        <v>5040.0695712017368</v>
      </c>
      <c r="I19" s="676">
        <f>transport!H54</f>
        <v>0</v>
      </c>
      <c r="J19" s="676">
        <f>transport!I54</f>
        <v>0</v>
      </c>
      <c r="K19" s="676">
        <f>transport!J54</f>
        <v>0</v>
      </c>
      <c r="L19" s="676">
        <f>transport!K54</f>
        <v>0</v>
      </c>
      <c r="M19" s="676">
        <f>transport!L54</f>
        <v>0</v>
      </c>
      <c r="N19" s="676">
        <f>transport!M54</f>
        <v>215.79641887651832</v>
      </c>
      <c r="O19" s="676">
        <f>transport!N54</f>
        <v>0</v>
      </c>
      <c r="P19" s="676">
        <f>transport!O54</f>
        <v>0</v>
      </c>
      <c r="Q19" s="677">
        <f>transport!P54</f>
        <v>0</v>
      </c>
      <c r="R19" s="679">
        <f>SUM(C19:Q19)</f>
        <v>5279.0985451497636</v>
      </c>
      <c r="S19" s="67"/>
    </row>
    <row r="20" spans="1:19" s="445" customFormat="1">
      <c r="A20" s="791" t="s">
        <v>302</v>
      </c>
      <c r="B20" s="796"/>
      <c r="C20" s="676">
        <f>transport!B14</f>
        <v>3.9022680749133096</v>
      </c>
      <c r="D20" s="676">
        <f>transport!C14</f>
        <v>0</v>
      </c>
      <c r="E20" s="676">
        <f>transport!D14</f>
        <v>12.080592570945843</v>
      </c>
      <c r="F20" s="676">
        <f>transport!E14</f>
        <v>1457.2861477604852</v>
      </c>
      <c r="G20" s="676">
        <f>transport!F14</f>
        <v>0</v>
      </c>
      <c r="H20" s="676">
        <f>transport!G14</f>
        <v>271563.66208116978</v>
      </c>
      <c r="I20" s="676">
        <f>transport!H14</f>
        <v>41858.35799501781</v>
      </c>
      <c r="J20" s="676">
        <f>transport!I14</f>
        <v>0</v>
      </c>
      <c r="K20" s="676">
        <f>transport!J14</f>
        <v>0</v>
      </c>
      <c r="L20" s="676">
        <f>transport!K14</f>
        <v>0</v>
      </c>
      <c r="M20" s="676">
        <f>transport!L14</f>
        <v>0</v>
      </c>
      <c r="N20" s="676">
        <f>transport!M14</f>
        <v>13625.272390797083</v>
      </c>
      <c r="O20" s="676">
        <f>transport!N14</f>
        <v>0</v>
      </c>
      <c r="P20" s="676">
        <f>transport!O14</f>
        <v>0</v>
      </c>
      <c r="Q20" s="677">
        <f>transport!P14</f>
        <v>0</v>
      </c>
      <c r="R20" s="679">
        <f>SUM(C20:Q20)</f>
        <v>328520.56147539098</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27.134823146422242</v>
      </c>
      <c r="D22" s="794">
        <f t="shared" ref="D22:R22" si="1">SUM(D18:D21)</f>
        <v>0</v>
      </c>
      <c r="E22" s="794">
        <f t="shared" si="1"/>
        <v>12.080592570945843</v>
      </c>
      <c r="F22" s="794">
        <f t="shared" si="1"/>
        <v>1457.2861477604852</v>
      </c>
      <c r="G22" s="794">
        <f t="shared" si="1"/>
        <v>0</v>
      </c>
      <c r="H22" s="794">
        <f t="shared" si="1"/>
        <v>276603.73165237153</v>
      </c>
      <c r="I22" s="794">
        <f t="shared" si="1"/>
        <v>41858.35799501781</v>
      </c>
      <c r="J22" s="794">
        <f t="shared" si="1"/>
        <v>0</v>
      </c>
      <c r="K22" s="794">
        <f t="shared" si="1"/>
        <v>0</v>
      </c>
      <c r="L22" s="794">
        <f t="shared" si="1"/>
        <v>0</v>
      </c>
      <c r="M22" s="794">
        <f t="shared" si="1"/>
        <v>0</v>
      </c>
      <c r="N22" s="794">
        <f t="shared" si="1"/>
        <v>13841.068809673601</v>
      </c>
      <c r="O22" s="794">
        <f t="shared" si="1"/>
        <v>0</v>
      </c>
      <c r="P22" s="794">
        <f t="shared" si="1"/>
        <v>0</v>
      </c>
      <c r="Q22" s="794">
        <f t="shared" si="1"/>
        <v>0</v>
      </c>
      <c r="R22" s="794">
        <f t="shared" si="1"/>
        <v>333799.66002054076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136.18837726151978</v>
      </c>
      <c r="D24" s="676">
        <f>+landbouw!C8</f>
        <v>0</v>
      </c>
      <c r="E24" s="676">
        <f>+landbouw!D8</f>
        <v>136.5207285613713</v>
      </c>
      <c r="F24" s="676">
        <f>+landbouw!E8</f>
        <v>1.4261941702639787</v>
      </c>
      <c r="G24" s="676">
        <f>+landbouw!F8</f>
        <v>582.98973586876036</v>
      </c>
      <c r="H24" s="676">
        <f>+landbouw!G8</f>
        <v>0</v>
      </c>
      <c r="I24" s="676">
        <f>+landbouw!H8</f>
        <v>0</v>
      </c>
      <c r="J24" s="676">
        <f>+landbouw!I8</f>
        <v>0</v>
      </c>
      <c r="K24" s="676">
        <f>+landbouw!J8</f>
        <v>12.16284276670345</v>
      </c>
      <c r="L24" s="676">
        <f>+landbouw!K8</f>
        <v>0</v>
      </c>
      <c r="M24" s="676">
        <f>+landbouw!L8</f>
        <v>0</v>
      </c>
      <c r="N24" s="676">
        <f>+landbouw!M8</f>
        <v>0</v>
      </c>
      <c r="O24" s="676">
        <f>+landbouw!N8</f>
        <v>0</v>
      </c>
      <c r="P24" s="676">
        <f>+landbouw!O8</f>
        <v>0</v>
      </c>
      <c r="Q24" s="677">
        <f>+landbouw!P8</f>
        <v>0</v>
      </c>
      <c r="R24" s="679">
        <f>SUM(C24:Q24)</f>
        <v>869.28787862861884</v>
      </c>
      <c r="S24" s="67"/>
    </row>
    <row r="25" spans="1:19" s="445" customFormat="1" ht="15" thickBot="1">
      <c r="A25" s="813" t="s">
        <v>895</v>
      </c>
      <c r="B25" s="968"/>
      <c r="C25" s="969">
        <f>IF(Onbekend_ele_kWh="---",0,Onbekend_ele_kWh)/1000+IF(REST_rest_ele_kWh="---",0,REST_rest_ele_kWh)/1000</f>
        <v>3478.6884734065902</v>
      </c>
      <c r="D25" s="969"/>
      <c r="E25" s="969">
        <f>IF(onbekend_gas_kWh="---",0,onbekend_gas_kWh)/1000+IF(REST_rest_gas_kWh="---",0,REST_rest_gas_kWh)/1000</f>
        <v>8056.6909340538996</v>
      </c>
      <c r="F25" s="969"/>
      <c r="G25" s="969"/>
      <c r="H25" s="969"/>
      <c r="I25" s="969"/>
      <c r="J25" s="969"/>
      <c r="K25" s="969"/>
      <c r="L25" s="969"/>
      <c r="M25" s="969"/>
      <c r="N25" s="969"/>
      <c r="O25" s="969"/>
      <c r="P25" s="969"/>
      <c r="Q25" s="970"/>
      <c r="R25" s="679">
        <f>SUM(C25:Q25)</f>
        <v>11535.37940746049</v>
      </c>
      <c r="S25" s="67"/>
    </row>
    <row r="26" spans="1:19" s="445" customFormat="1" ht="15.75" thickBot="1">
      <c r="A26" s="682" t="s">
        <v>896</v>
      </c>
      <c r="B26" s="799"/>
      <c r="C26" s="794">
        <f>SUM(C24:C25)</f>
        <v>3614.8768506681099</v>
      </c>
      <c r="D26" s="794">
        <f t="shared" ref="D26:R26" si="2">SUM(D24:D25)</f>
        <v>0</v>
      </c>
      <c r="E26" s="794">
        <f t="shared" si="2"/>
        <v>8193.2116626152711</v>
      </c>
      <c r="F26" s="794">
        <f t="shared" si="2"/>
        <v>1.4261941702639787</v>
      </c>
      <c r="G26" s="794">
        <f t="shared" si="2"/>
        <v>582.98973586876036</v>
      </c>
      <c r="H26" s="794">
        <f t="shared" si="2"/>
        <v>0</v>
      </c>
      <c r="I26" s="794">
        <f t="shared" si="2"/>
        <v>0</v>
      </c>
      <c r="J26" s="794">
        <f t="shared" si="2"/>
        <v>0</v>
      </c>
      <c r="K26" s="794">
        <f t="shared" si="2"/>
        <v>12.16284276670345</v>
      </c>
      <c r="L26" s="794">
        <f t="shared" si="2"/>
        <v>0</v>
      </c>
      <c r="M26" s="794">
        <f t="shared" si="2"/>
        <v>0</v>
      </c>
      <c r="N26" s="794">
        <f t="shared" si="2"/>
        <v>0</v>
      </c>
      <c r="O26" s="794">
        <f t="shared" si="2"/>
        <v>0</v>
      </c>
      <c r="P26" s="794">
        <f t="shared" si="2"/>
        <v>0</v>
      </c>
      <c r="Q26" s="794">
        <f t="shared" si="2"/>
        <v>0</v>
      </c>
      <c r="R26" s="794">
        <f t="shared" si="2"/>
        <v>12404.667286089109</v>
      </c>
      <c r="S26" s="67"/>
    </row>
    <row r="27" spans="1:19" s="445" customFormat="1" ht="17.25" thickTop="1" thickBot="1">
      <c r="A27" s="683" t="s">
        <v>115</v>
      </c>
      <c r="B27" s="786"/>
      <c r="C27" s="684">
        <f ca="1">C22+C16+C26</f>
        <v>209749.14023504726</v>
      </c>
      <c r="D27" s="684">
        <f t="shared" ref="D27:R27" ca="1" si="3">D22+D16+D26</f>
        <v>1928.5714285714287</v>
      </c>
      <c r="E27" s="684">
        <f t="shared" ca="1" si="3"/>
        <v>316795.70320793416</v>
      </c>
      <c r="F27" s="684">
        <f t="shared" si="3"/>
        <v>5884.8768392190541</v>
      </c>
      <c r="G27" s="684">
        <f t="shared" ca="1" si="3"/>
        <v>82637.416965621655</v>
      </c>
      <c r="H27" s="684">
        <f t="shared" si="3"/>
        <v>276603.73165237153</v>
      </c>
      <c r="I27" s="684">
        <f t="shared" si="3"/>
        <v>41858.35799501781</v>
      </c>
      <c r="J27" s="684">
        <f t="shared" si="3"/>
        <v>0</v>
      </c>
      <c r="K27" s="684">
        <f t="shared" si="3"/>
        <v>1457.9031408772478</v>
      </c>
      <c r="L27" s="684">
        <f t="shared" si="3"/>
        <v>0</v>
      </c>
      <c r="M27" s="684">
        <f t="shared" ca="1" si="3"/>
        <v>0</v>
      </c>
      <c r="N27" s="684">
        <f t="shared" si="3"/>
        <v>13841.068809673601</v>
      </c>
      <c r="O27" s="684">
        <f t="shared" ca="1" si="3"/>
        <v>20977.387722422594</v>
      </c>
      <c r="P27" s="684">
        <f t="shared" si="3"/>
        <v>57.843333333333334</v>
      </c>
      <c r="Q27" s="684">
        <f t="shared" si="3"/>
        <v>171.60000000000002</v>
      </c>
      <c r="R27" s="684">
        <f t="shared" ca="1" si="3"/>
        <v>971963.60133008962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21668.204152909406</v>
      </c>
      <c r="D40" s="676">
        <f ca="1">tertiair!C20</f>
        <v>458.31932773109253</v>
      </c>
      <c r="E40" s="676">
        <f ca="1">tertiair!D20</f>
        <v>22713.52191214931</v>
      </c>
      <c r="F40" s="676">
        <f>tertiair!E20</f>
        <v>551.37210735227438</v>
      </c>
      <c r="G40" s="676">
        <f ca="1">tertiair!F20</f>
        <v>4602.4845518989032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49993.902052040983</v>
      </c>
    </row>
    <row r="41" spans="1:18">
      <c r="A41" s="804" t="s">
        <v>220</v>
      </c>
      <c r="B41" s="811"/>
      <c r="C41" s="676">
        <f ca="1">huishoudens!B12</f>
        <v>12339.30644841803</v>
      </c>
      <c r="D41" s="676">
        <f ca="1">huishoudens!C12</f>
        <v>0</v>
      </c>
      <c r="E41" s="676">
        <f>huishoudens!D12</f>
        <v>36266.562380034891</v>
      </c>
      <c r="F41" s="676">
        <f>huishoudens!E12</f>
        <v>343.81136789782971</v>
      </c>
      <c r="G41" s="676">
        <f>huishoudens!F12</f>
        <v>13803.774448677083</v>
      </c>
      <c r="H41" s="676">
        <f>huishoudens!G12</f>
        <v>0</v>
      </c>
      <c r="I41" s="676">
        <f>huishoudens!H12</f>
        <v>0</v>
      </c>
      <c r="J41" s="676">
        <f>huishoudens!I12</f>
        <v>0</v>
      </c>
      <c r="K41" s="676">
        <f>huishoudens!J12</f>
        <v>412.10638739448336</v>
      </c>
      <c r="L41" s="676">
        <f>huishoudens!K12</f>
        <v>0</v>
      </c>
      <c r="M41" s="676">
        <f>huishoudens!L12</f>
        <v>0</v>
      </c>
      <c r="N41" s="676">
        <f>huishoudens!M12</f>
        <v>0</v>
      </c>
      <c r="O41" s="676">
        <f>huishoudens!N12</f>
        <v>0</v>
      </c>
      <c r="P41" s="676">
        <f>huishoudens!O12</f>
        <v>0</v>
      </c>
      <c r="Q41" s="751">
        <f>huishoudens!P12</f>
        <v>0</v>
      </c>
      <c r="R41" s="832">
        <f t="shared" ca="1" si="4"/>
        <v>63165.561032422309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11003.066595075861</v>
      </c>
      <c r="D43" s="676">
        <f ca="1">industrie!C22</f>
        <v>0</v>
      </c>
      <c r="E43" s="676">
        <f>industrie!D22</f>
        <v>3355.1787202708874</v>
      </c>
      <c r="F43" s="676">
        <f>industrie!E22</f>
        <v>109.55586563434117</v>
      </c>
      <c r="G43" s="676">
        <f>industrie!F22</f>
        <v>3502.2730697680377</v>
      </c>
      <c r="H43" s="676">
        <f>industrie!G22</f>
        <v>0</v>
      </c>
      <c r="I43" s="676">
        <f>industrie!H22</f>
        <v>0</v>
      </c>
      <c r="J43" s="676">
        <f>industrie!I22</f>
        <v>0</v>
      </c>
      <c r="K43" s="676">
        <f>industrie!J22</f>
        <v>99.685678136649287</v>
      </c>
      <c r="L43" s="676">
        <f>industrie!K22</f>
        <v>0</v>
      </c>
      <c r="M43" s="676">
        <f>industrie!L22</f>
        <v>0</v>
      </c>
      <c r="N43" s="676">
        <f>industrie!M22</f>
        <v>0</v>
      </c>
      <c r="O43" s="676">
        <f>industrie!N22</f>
        <v>0</v>
      </c>
      <c r="P43" s="676">
        <f>industrie!O22</f>
        <v>0</v>
      </c>
      <c r="Q43" s="751">
        <f>industrie!P22</f>
        <v>0</v>
      </c>
      <c r="R43" s="831">
        <f t="shared" ca="1" si="4"/>
        <v>18069.759928885775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45010.577196403297</v>
      </c>
      <c r="D46" s="709">
        <f t="shared" ref="D46:Q46" ca="1" si="5">SUM(D39:D45)</f>
        <v>458.31932773109253</v>
      </c>
      <c r="E46" s="709">
        <f t="shared" ca="1" si="5"/>
        <v>62335.263012455085</v>
      </c>
      <c r="F46" s="709">
        <f t="shared" si="5"/>
        <v>1004.7393408844453</v>
      </c>
      <c r="G46" s="709">
        <f t="shared" ca="1" si="5"/>
        <v>21908.532070344023</v>
      </c>
      <c r="H46" s="709">
        <f t="shared" si="5"/>
        <v>0</v>
      </c>
      <c r="I46" s="709">
        <f t="shared" si="5"/>
        <v>0</v>
      </c>
      <c r="J46" s="709">
        <f t="shared" si="5"/>
        <v>0</v>
      </c>
      <c r="K46" s="709">
        <f t="shared" si="5"/>
        <v>511.79206553113266</v>
      </c>
      <c r="L46" s="709">
        <f t="shared" si="5"/>
        <v>0</v>
      </c>
      <c r="M46" s="709">
        <f t="shared" ca="1" si="5"/>
        <v>0</v>
      </c>
      <c r="N46" s="709">
        <f t="shared" si="5"/>
        <v>0</v>
      </c>
      <c r="O46" s="709">
        <f t="shared" ca="1" si="5"/>
        <v>0</v>
      </c>
      <c r="P46" s="709">
        <f t="shared" si="5"/>
        <v>0</v>
      </c>
      <c r="Q46" s="709">
        <f t="shared" si="5"/>
        <v>0</v>
      </c>
      <c r="R46" s="709">
        <f ca="1">SUM(R39:R45)</f>
        <v>131229.22301334905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5.0736271026412929</v>
      </c>
      <c r="D49" s="676">
        <f ca="1">transport!C58</f>
        <v>0</v>
      </c>
      <c r="E49" s="676">
        <f>transport!D58</f>
        <v>0</v>
      </c>
      <c r="F49" s="676">
        <f>transport!E58</f>
        <v>0</v>
      </c>
      <c r="G49" s="676">
        <f>transport!F58</f>
        <v>0</v>
      </c>
      <c r="H49" s="676">
        <f>transport!G58</f>
        <v>1345.6985755108637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1350.772202613505</v>
      </c>
    </row>
    <row r="50" spans="1:18">
      <c r="A50" s="807" t="s">
        <v>302</v>
      </c>
      <c r="B50" s="817"/>
      <c r="C50" s="975">
        <f ca="1">transport!B18</f>
        <v>0.8521943886805613</v>
      </c>
      <c r="D50" s="975">
        <f>transport!C18</f>
        <v>0</v>
      </c>
      <c r="E50" s="975">
        <f>transport!D18</f>
        <v>2.4402796993310605</v>
      </c>
      <c r="F50" s="975">
        <f>transport!E18</f>
        <v>330.80395554163016</v>
      </c>
      <c r="G50" s="975">
        <f>transport!F18</f>
        <v>0</v>
      </c>
      <c r="H50" s="975">
        <f>transport!G18</f>
        <v>72507.497775672338</v>
      </c>
      <c r="I50" s="975">
        <f>transport!H18</f>
        <v>10422.731140759435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83264.325346061421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5.9258214913218543</v>
      </c>
      <c r="D52" s="709">
        <f t="shared" ref="D52:Q52" ca="1" si="6">SUM(D48:D51)</f>
        <v>0</v>
      </c>
      <c r="E52" s="709">
        <f t="shared" si="6"/>
        <v>2.4402796993310605</v>
      </c>
      <c r="F52" s="709">
        <f t="shared" si="6"/>
        <v>330.80395554163016</v>
      </c>
      <c r="G52" s="709">
        <f t="shared" si="6"/>
        <v>0</v>
      </c>
      <c r="H52" s="709">
        <f t="shared" si="6"/>
        <v>73853.1963511832</v>
      </c>
      <c r="I52" s="709">
        <f t="shared" si="6"/>
        <v>10422.731140759435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84615.097548674923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29.741414141148361</v>
      </c>
      <c r="D54" s="975">
        <f ca="1">+landbouw!C12</f>
        <v>0</v>
      </c>
      <c r="E54" s="975">
        <f>+landbouw!D12</f>
        <v>27.577187169397003</v>
      </c>
      <c r="F54" s="975">
        <f>+landbouw!E12</f>
        <v>0.32374607664992316</v>
      </c>
      <c r="G54" s="975">
        <f>+landbouw!F12</f>
        <v>155.65825947695902</v>
      </c>
      <c r="H54" s="975">
        <f>+landbouw!G12</f>
        <v>0</v>
      </c>
      <c r="I54" s="975">
        <f>+landbouw!H12</f>
        <v>0</v>
      </c>
      <c r="J54" s="975">
        <f>+landbouw!I12</f>
        <v>0</v>
      </c>
      <c r="K54" s="975">
        <f>+landbouw!J12</f>
        <v>4.3056463394130216</v>
      </c>
      <c r="L54" s="975">
        <f>+landbouw!K12</f>
        <v>0</v>
      </c>
      <c r="M54" s="975">
        <f>+landbouw!L12</f>
        <v>0</v>
      </c>
      <c r="N54" s="975">
        <f>+landbouw!M12</f>
        <v>0</v>
      </c>
      <c r="O54" s="975">
        <f>+landbouw!N12</f>
        <v>0</v>
      </c>
      <c r="P54" s="975">
        <f>+landbouw!O12</f>
        <v>0</v>
      </c>
      <c r="Q54" s="976">
        <f>+landbouw!P12</f>
        <v>0</v>
      </c>
      <c r="R54" s="708">
        <f ca="1">SUM(C54:Q54)</f>
        <v>217.60625320356732</v>
      </c>
    </row>
    <row r="55" spans="1:18" ht="15" thickBot="1">
      <c r="A55" s="807" t="s">
        <v>895</v>
      </c>
      <c r="B55" s="817"/>
      <c r="C55" s="975">
        <f ca="1">C25*'EF ele_warmte'!B12</f>
        <v>759.69122061679536</v>
      </c>
      <c r="D55" s="975"/>
      <c r="E55" s="975">
        <f>E25*EF_CO2_aardgas</f>
        <v>1627.4515686788877</v>
      </c>
      <c r="F55" s="975"/>
      <c r="G55" s="975"/>
      <c r="H55" s="975"/>
      <c r="I55" s="975"/>
      <c r="J55" s="975"/>
      <c r="K55" s="975"/>
      <c r="L55" s="975"/>
      <c r="M55" s="975"/>
      <c r="N55" s="975"/>
      <c r="O55" s="975"/>
      <c r="P55" s="975"/>
      <c r="Q55" s="976"/>
      <c r="R55" s="708">
        <f ca="1">SUM(C55:Q55)</f>
        <v>2387.1427892956831</v>
      </c>
    </row>
    <row r="56" spans="1:18" ht="15.75" thickBot="1">
      <c r="A56" s="805" t="s">
        <v>896</v>
      </c>
      <c r="B56" s="818"/>
      <c r="C56" s="709">
        <f ca="1">SUM(C54:C55)</f>
        <v>789.43263475794367</v>
      </c>
      <c r="D56" s="709">
        <f t="shared" ref="D56:Q56" ca="1" si="7">SUM(D54:D55)</f>
        <v>0</v>
      </c>
      <c r="E56" s="709">
        <f t="shared" si="7"/>
        <v>1655.0287558482846</v>
      </c>
      <c r="F56" s="709">
        <f t="shared" si="7"/>
        <v>0.32374607664992316</v>
      </c>
      <c r="G56" s="709">
        <f t="shared" si="7"/>
        <v>155.65825947695902</v>
      </c>
      <c r="H56" s="709">
        <f t="shared" si="7"/>
        <v>0</v>
      </c>
      <c r="I56" s="709">
        <f t="shared" si="7"/>
        <v>0</v>
      </c>
      <c r="J56" s="709">
        <f t="shared" si="7"/>
        <v>0</v>
      </c>
      <c r="K56" s="709">
        <f t="shared" si="7"/>
        <v>4.3056463394130216</v>
      </c>
      <c r="L56" s="709">
        <f t="shared" si="7"/>
        <v>0</v>
      </c>
      <c r="M56" s="709">
        <f t="shared" si="7"/>
        <v>0</v>
      </c>
      <c r="N56" s="709">
        <f t="shared" si="7"/>
        <v>0</v>
      </c>
      <c r="O56" s="709">
        <f t="shared" si="7"/>
        <v>0</v>
      </c>
      <c r="P56" s="709">
        <f t="shared" si="7"/>
        <v>0</v>
      </c>
      <c r="Q56" s="710">
        <f t="shared" si="7"/>
        <v>0</v>
      </c>
      <c r="R56" s="711">
        <f ca="1">SUM(R54:R55)</f>
        <v>2604.7490424992502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45805.935652652559</v>
      </c>
      <c r="D61" s="717">
        <f t="shared" ref="D61:Q61" ca="1" si="8">D46+D52+D56</f>
        <v>458.31932773109253</v>
      </c>
      <c r="E61" s="717">
        <f t="shared" ca="1" si="8"/>
        <v>63992.732048002697</v>
      </c>
      <c r="F61" s="717">
        <f t="shared" si="8"/>
        <v>1335.8670425027253</v>
      </c>
      <c r="G61" s="717">
        <f t="shared" ca="1" si="8"/>
        <v>22064.190329820984</v>
      </c>
      <c r="H61" s="717">
        <f t="shared" si="8"/>
        <v>73853.1963511832</v>
      </c>
      <c r="I61" s="717">
        <f t="shared" si="8"/>
        <v>10422.731140759435</v>
      </c>
      <c r="J61" s="717">
        <f t="shared" si="8"/>
        <v>0</v>
      </c>
      <c r="K61" s="717">
        <f t="shared" si="8"/>
        <v>516.09771187054571</v>
      </c>
      <c r="L61" s="717">
        <f t="shared" si="8"/>
        <v>0</v>
      </c>
      <c r="M61" s="717">
        <f t="shared" ca="1" si="8"/>
        <v>0</v>
      </c>
      <c r="N61" s="717">
        <f t="shared" si="8"/>
        <v>0</v>
      </c>
      <c r="O61" s="717">
        <f t="shared" ca="1" si="8"/>
        <v>0</v>
      </c>
      <c r="P61" s="717">
        <f t="shared" si="8"/>
        <v>0</v>
      </c>
      <c r="Q61" s="717">
        <f t="shared" si="8"/>
        <v>0</v>
      </c>
      <c r="R61" s="717">
        <f ca="1">R46+R52+R56</f>
        <v>218449.06960452322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0.2183843786025626</v>
      </c>
      <c r="D63" s="761">
        <f t="shared" ca="1" si="9"/>
        <v>0.23764705882352943</v>
      </c>
      <c r="E63" s="977">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2584.1532520572223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1350</v>
      </c>
      <c r="D76" s="987">
        <f>'lokale energieproductie'!C8</f>
        <v>1588.2352941176473</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320.82352941176475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2584.1532520572223</v>
      </c>
      <c r="C78" s="732">
        <f>SUM(C72:C77)</f>
        <v>1350</v>
      </c>
      <c r="D78" s="733">
        <f t="shared" ref="D78:H78" si="10">SUM(D76:D77)</f>
        <v>1588.2352941176473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320.82352941176475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1928.5714285714287</v>
      </c>
      <c r="D87" s="754">
        <f>'lokale energieproductie'!C17</f>
        <v>2268.9075630252105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458.31932773109253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1928.5714285714287</v>
      </c>
      <c r="D90" s="732">
        <f t="shared" ref="D90:H90" si="12">SUM(D87:D89)</f>
        <v>2268.9075630252105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458.31932773109253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56502.697342076448</v>
      </c>
      <c r="C4" s="449">
        <f>huishoudens!C8</f>
        <v>0</v>
      </c>
      <c r="D4" s="449">
        <f>huishoudens!D8</f>
        <v>179537.43752492519</v>
      </c>
      <c r="E4" s="449">
        <f>huishoudens!E8</f>
        <v>1514.5875237789855</v>
      </c>
      <c r="F4" s="449">
        <f>huishoudens!F8</f>
        <v>51699.529770326146</v>
      </c>
      <c r="G4" s="449">
        <f>huishoudens!G8</f>
        <v>0</v>
      </c>
      <c r="H4" s="449">
        <f>huishoudens!H8</f>
        <v>0</v>
      </c>
      <c r="I4" s="449">
        <f>huishoudens!I8</f>
        <v>0</v>
      </c>
      <c r="J4" s="449">
        <f>huishoudens!J8</f>
        <v>1164.1423372725519</v>
      </c>
      <c r="K4" s="449">
        <f>huishoudens!K8</f>
        <v>0</v>
      </c>
      <c r="L4" s="449">
        <f>huishoudens!L8</f>
        <v>0</v>
      </c>
      <c r="M4" s="449">
        <f>huishoudens!M8</f>
        <v>0</v>
      </c>
      <c r="N4" s="449">
        <f>huishoudens!N8</f>
        <v>18141.104365829116</v>
      </c>
      <c r="O4" s="449">
        <f>huishoudens!O8</f>
        <v>57.843333333333334</v>
      </c>
      <c r="P4" s="450">
        <f>huishoudens!P8</f>
        <v>95.333333333333343</v>
      </c>
      <c r="Q4" s="451">
        <f>SUM(B4:P4)</f>
        <v>308712.6755308751</v>
      </c>
    </row>
    <row r="5" spans="1:17">
      <c r="A5" s="448" t="s">
        <v>155</v>
      </c>
      <c r="B5" s="449">
        <f ca="1">tertiair!B16</f>
        <v>96452.108877075196</v>
      </c>
      <c r="C5" s="449">
        <f ca="1">tertiair!C16</f>
        <v>1928.5714285714287</v>
      </c>
      <c r="D5" s="449">
        <f ca="1">tertiair!D16</f>
        <v>112443.17778291737</v>
      </c>
      <c r="E5" s="449">
        <f>tertiair!E16</f>
        <v>2428.9520147677285</v>
      </c>
      <c r="F5" s="449">
        <f ca="1">tertiair!F16</f>
        <v>17237.769857299263</v>
      </c>
      <c r="G5" s="449">
        <f>tertiair!G16</f>
        <v>0</v>
      </c>
      <c r="H5" s="449">
        <f>tertiair!H16</f>
        <v>0</v>
      </c>
      <c r="I5" s="449">
        <f>tertiair!I16</f>
        <v>0</v>
      </c>
      <c r="J5" s="449">
        <f>tertiair!J16</f>
        <v>0</v>
      </c>
      <c r="K5" s="449">
        <f>tertiair!K16</f>
        <v>0</v>
      </c>
      <c r="L5" s="449">
        <f ca="1">tertiair!L16</f>
        <v>0</v>
      </c>
      <c r="M5" s="449">
        <f>tertiair!M16</f>
        <v>0</v>
      </c>
      <c r="N5" s="449">
        <f ca="1">tertiair!N16</f>
        <v>1621.8690606777413</v>
      </c>
      <c r="O5" s="449">
        <f>tertiair!O16</f>
        <v>0</v>
      </c>
      <c r="P5" s="450">
        <f>tertiair!P16</f>
        <v>76.266666666666666</v>
      </c>
      <c r="Q5" s="448">
        <f t="shared" ref="Q5:Q14" ca="1" si="0">SUM(B5:P5)</f>
        <v>232188.7156879754</v>
      </c>
    </row>
    <row r="6" spans="1:17">
      <c r="A6" s="448" t="s">
        <v>193</v>
      </c>
      <c r="B6" s="449">
        <f>'openbare verlichting'!B8</f>
        <v>2768.377</v>
      </c>
      <c r="C6" s="449"/>
      <c r="D6" s="449"/>
      <c r="E6" s="449"/>
      <c r="F6" s="449"/>
      <c r="G6" s="449"/>
      <c r="H6" s="449"/>
      <c r="I6" s="449"/>
      <c r="J6" s="449"/>
      <c r="K6" s="449"/>
      <c r="L6" s="449"/>
      <c r="M6" s="449"/>
      <c r="N6" s="449"/>
      <c r="O6" s="449"/>
      <c r="P6" s="450"/>
      <c r="Q6" s="448">
        <f t="shared" si="0"/>
        <v>2768.377</v>
      </c>
    </row>
    <row r="7" spans="1:17">
      <c r="A7" s="448" t="s">
        <v>111</v>
      </c>
      <c r="B7" s="449">
        <f>landbouw!B8</f>
        <v>136.18837726151978</v>
      </c>
      <c r="C7" s="449">
        <f>landbouw!C8</f>
        <v>0</v>
      </c>
      <c r="D7" s="449">
        <f>landbouw!D8</f>
        <v>136.5207285613713</v>
      </c>
      <c r="E7" s="449">
        <f>landbouw!E8</f>
        <v>1.4261941702639787</v>
      </c>
      <c r="F7" s="449">
        <f>landbouw!F8</f>
        <v>582.98973586876036</v>
      </c>
      <c r="G7" s="449">
        <f>landbouw!G8</f>
        <v>0</v>
      </c>
      <c r="H7" s="449">
        <f>landbouw!H8</f>
        <v>0</v>
      </c>
      <c r="I7" s="449">
        <f>landbouw!I8</f>
        <v>0</v>
      </c>
      <c r="J7" s="449">
        <f>landbouw!J8</f>
        <v>12.16284276670345</v>
      </c>
      <c r="K7" s="449">
        <f>landbouw!K8</f>
        <v>0</v>
      </c>
      <c r="L7" s="449">
        <f>landbouw!L8</f>
        <v>0</v>
      </c>
      <c r="M7" s="449">
        <f>landbouw!M8</f>
        <v>0</v>
      </c>
      <c r="N7" s="449">
        <f>landbouw!N8</f>
        <v>0</v>
      </c>
      <c r="O7" s="449">
        <f>landbouw!O8</f>
        <v>0</v>
      </c>
      <c r="P7" s="450">
        <f>landbouw!P8</f>
        <v>0</v>
      </c>
      <c r="Q7" s="448">
        <f t="shared" si="0"/>
        <v>869.28787862861884</v>
      </c>
    </row>
    <row r="8" spans="1:17">
      <c r="A8" s="448" t="s">
        <v>643</v>
      </c>
      <c r="B8" s="449">
        <f>industrie!B18</f>
        <v>50383.945342081104</v>
      </c>
      <c r="C8" s="449">
        <f>industrie!C18</f>
        <v>0</v>
      </c>
      <c r="D8" s="449">
        <f>industrie!D18</f>
        <v>16609.795644905382</v>
      </c>
      <c r="E8" s="449">
        <f>industrie!E18</f>
        <v>482.62495874159106</v>
      </c>
      <c r="F8" s="449">
        <f>industrie!F18</f>
        <v>13117.127602127481</v>
      </c>
      <c r="G8" s="449">
        <f>industrie!G18</f>
        <v>0</v>
      </c>
      <c r="H8" s="449">
        <f>industrie!H18</f>
        <v>0</v>
      </c>
      <c r="I8" s="449">
        <f>industrie!I18</f>
        <v>0</v>
      </c>
      <c r="J8" s="449">
        <f>industrie!J18</f>
        <v>281.59796083799233</v>
      </c>
      <c r="K8" s="449">
        <f>industrie!K18</f>
        <v>0</v>
      </c>
      <c r="L8" s="449">
        <f>industrie!L18</f>
        <v>0</v>
      </c>
      <c r="M8" s="449">
        <f>industrie!M18</f>
        <v>0</v>
      </c>
      <c r="N8" s="449">
        <f>industrie!N18</f>
        <v>1214.4142959157352</v>
      </c>
      <c r="O8" s="449">
        <f>industrie!O18</f>
        <v>0</v>
      </c>
      <c r="P8" s="450">
        <f>industrie!P18</f>
        <v>0</v>
      </c>
      <c r="Q8" s="448">
        <f t="shared" si="0"/>
        <v>82089.505804609289</v>
      </c>
    </row>
    <row r="9" spans="1:17" s="454" customFormat="1">
      <c r="A9" s="452" t="s">
        <v>562</v>
      </c>
      <c r="B9" s="453">
        <f>transport!B14</f>
        <v>3.9022680749133096</v>
      </c>
      <c r="C9" s="453">
        <f>transport!C14</f>
        <v>0</v>
      </c>
      <c r="D9" s="453">
        <f>transport!D14</f>
        <v>12.080592570945843</v>
      </c>
      <c r="E9" s="453">
        <f>transport!E14</f>
        <v>1457.2861477604852</v>
      </c>
      <c r="F9" s="453">
        <f>transport!F14</f>
        <v>0</v>
      </c>
      <c r="G9" s="453">
        <f>transport!G14</f>
        <v>271563.66208116978</v>
      </c>
      <c r="H9" s="453">
        <f>transport!H14</f>
        <v>41858.35799501781</v>
      </c>
      <c r="I9" s="453">
        <f>transport!I14</f>
        <v>0</v>
      </c>
      <c r="J9" s="453">
        <f>transport!J14</f>
        <v>0</v>
      </c>
      <c r="K9" s="453">
        <f>transport!K14</f>
        <v>0</v>
      </c>
      <c r="L9" s="453">
        <f>transport!L14</f>
        <v>0</v>
      </c>
      <c r="M9" s="453">
        <f>transport!M14</f>
        <v>13625.272390797083</v>
      </c>
      <c r="N9" s="453">
        <f>transport!N14</f>
        <v>0</v>
      </c>
      <c r="O9" s="453">
        <f>transport!O14</f>
        <v>0</v>
      </c>
      <c r="P9" s="453">
        <f>transport!P14</f>
        <v>0</v>
      </c>
      <c r="Q9" s="452">
        <f>SUM(B9:P9)</f>
        <v>328520.56147539098</v>
      </c>
    </row>
    <row r="10" spans="1:17">
      <c r="A10" s="448" t="s">
        <v>552</v>
      </c>
      <c r="B10" s="449">
        <f>transport!B54</f>
        <v>23.232555071508934</v>
      </c>
      <c r="C10" s="449">
        <f>transport!C54</f>
        <v>0</v>
      </c>
      <c r="D10" s="449">
        <f>transport!D54</f>
        <v>0</v>
      </c>
      <c r="E10" s="449">
        <f>transport!E54</f>
        <v>0</v>
      </c>
      <c r="F10" s="449">
        <f>transport!F54</f>
        <v>0</v>
      </c>
      <c r="G10" s="449">
        <f>transport!G54</f>
        <v>5040.0695712017368</v>
      </c>
      <c r="H10" s="449">
        <f>transport!H54</f>
        <v>0</v>
      </c>
      <c r="I10" s="449">
        <f>transport!I54</f>
        <v>0</v>
      </c>
      <c r="J10" s="449">
        <f>transport!J54</f>
        <v>0</v>
      </c>
      <c r="K10" s="449">
        <f>transport!K54</f>
        <v>0</v>
      </c>
      <c r="L10" s="449">
        <f>transport!L54</f>
        <v>0</v>
      </c>
      <c r="M10" s="449">
        <f>transport!M54</f>
        <v>215.79641887651832</v>
      </c>
      <c r="N10" s="449">
        <f>transport!N54</f>
        <v>0</v>
      </c>
      <c r="O10" s="449">
        <f>transport!O54</f>
        <v>0</v>
      </c>
      <c r="P10" s="450">
        <f>transport!P54</f>
        <v>0</v>
      </c>
      <c r="Q10" s="448">
        <f t="shared" si="0"/>
        <v>5279.0985451497636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3478.6884734065902</v>
      </c>
      <c r="C14" s="456"/>
      <c r="D14" s="456">
        <f>'SEAP template'!E25</f>
        <v>8056.6909340538996</v>
      </c>
      <c r="E14" s="456"/>
      <c r="F14" s="456"/>
      <c r="G14" s="456"/>
      <c r="H14" s="456"/>
      <c r="I14" s="456"/>
      <c r="J14" s="456"/>
      <c r="K14" s="456"/>
      <c r="L14" s="456"/>
      <c r="M14" s="456"/>
      <c r="N14" s="456"/>
      <c r="O14" s="456"/>
      <c r="P14" s="457"/>
      <c r="Q14" s="448">
        <f t="shared" si="0"/>
        <v>11535.37940746049</v>
      </c>
    </row>
    <row r="15" spans="1:17" s="461" customFormat="1">
      <c r="A15" s="458" t="s">
        <v>556</v>
      </c>
      <c r="B15" s="459">
        <f ca="1">SUM(B4:B14)</f>
        <v>209749.14023504729</v>
      </c>
      <c r="C15" s="459">
        <f t="shared" ref="C15:Q15" ca="1" si="1">SUM(C4:C14)</f>
        <v>1928.5714285714287</v>
      </c>
      <c r="D15" s="459">
        <f t="shared" ca="1" si="1"/>
        <v>316795.70320793416</v>
      </c>
      <c r="E15" s="459">
        <f t="shared" si="1"/>
        <v>5884.8768392190541</v>
      </c>
      <c r="F15" s="459">
        <f t="shared" ca="1" si="1"/>
        <v>82637.416965621655</v>
      </c>
      <c r="G15" s="459">
        <f t="shared" si="1"/>
        <v>276603.73165237153</v>
      </c>
      <c r="H15" s="459">
        <f t="shared" si="1"/>
        <v>41858.35799501781</v>
      </c>
      <c r="I15" s="459">
        <f t="shared" si="1"/>
        <v>0</v>
      </c>
      <c r="J15" s="459">
        <f t="shared" si="1"/>
        <v>1457.9031408772478</v>
      </c>
      <c r="K15" s="459">
        <f t="shared" si="1"/>
        <v>0</v>
      </c>
      <c r="L15" s="459">
        <f t="shared" ca="1" si="1"/>
        <v>0</v>
      </c>
      <c r="M15" s="459">
        <f t="shared" si="1"/>
        <v>13841.068809673601</v>
      </c>
      <c r="N15" s="459">
        <f t="shared" ca="1" si="1"/>
        <v>20977.387722422594</v>
      </c>
      <c r="O15" s="459">
        <f t="shared" si="1"/>
        <v>57.843333333333334</v>
      </c>
      <c r="P15" s="459">
        <f t="shared" si="1"/>
        <v>171.60000000000002</v>
      </c>
      <c r="Q15" s="459">
        <f t="shared" ca="1" si="1"/>
        <v>971963.60133008962</v>
      </c>
    </row>
    <row r="17" spans="1:17">
      <c r="A17" s="462" t="s">
        <v>557</v>
      </c>
      <c r="B17" s="766">
        <f ca="1">huishoudens!B10</f>
        <v>0.2183843786025626</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12339.30644841803</v>
      </c>
      <c r="C22" s="449">
        <f t="shared" ref="C22:C32" ca="1" si="3">C4*$C$17</f>
        <v>0</v>
      </c>
      <c r="D22" s="449">
        <f t="shared" ref="D22:D32" si="4">D4*$D$17</f>
        <v>36266.562380034891</v>
      </c>
      <c r="E22" s="449">
        <f t="shared" ref="E22:E32" si="5">E4*$E$17</f>
        <v>343.81136789782971</v>
      </c>
      <c r="F22" s="449">
        <f t="shared" ref="F22:F32" si="6">F4*$F$17</f>
        <v>13803.774448677083</v>
      </c>
      <c r="G22" s="449">
        <f t="shared" ref="G22:G32" si="7">G4*$G$17</f>
        <v>0</v>
      </c>
      <c r="H22" s="449">
        <f t="shared" ref="H22:H32" si="8">H4*$H$17</f>
        <v>0</v>
      </c>
      <c r="I22" s="449">
        <f t="shared" ref="I22:I32" si="9">I4*$I$17</f>
        <v>0</v>
      </c>
      <c r="J22" s="449">
        <f t="shared" ref="J22:J32" si="10">J4*$J$17</f>
        <v>412.10638739448336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63165.561032422309</v>
      </c>
    </row>
    <row r="23" spans="1:17">
      <c r="A23" s="448" t="s">
        <v>155</v>
      </c>
      <c r="B23" s="449">
        <f t="shared" ca="1" si="2"/>
        <v>21063.633862026778</v>
      </c>
      <c r="C23" s="449">
        <f t="shared" ca="1" si="3"/>
        <v>458.31932773109253</v>
      </c>
      <c r="D23" s="449">
        <f t="shared" ca="1" si="4"/>
        <v>22713.52191214931</v>
      </c>
      <c r="E23" s="449">
        <f t="shared" si="5"/>
        <v>551.37210735227438</v>
      </c>
      <c r="F23" s="449">
        <f t="shared" ca="1" si="6"/>
        <v>4602.4845518989032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49389.331761158362</v>
      </c>
    </row>
    <row r="24" spans="1:17">
      <c r="A24" s="448" t="s">
        <v>193</v>
      </c>
      <c r="B24" s="449">
        <f t="shared" ca="1" si="2"/>
        <v>604.57029088262641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604.57029088262641</v>
      </c>
    </row>
    <row r="25" spans="1:17">
      <c r="A25" s="448" t="s">
        <v>111</v>
      </c>
      <c r="B25" s="449">
        <f t="shared" ca="1" si="2"/>
        <v>29.741414141148361</v>
      </c>
      <c r="C25" s="449">
        <f t="shared" ca="1" si="3"/>
        <v>0</v>
      </c>
      <c r="D25" s="449">
        <f t="shared" si="4"/>
        <v>27.577187169397003</v>
      </c>
      <c r="E25" s="449">
        <f t="shared" si="5"/>
        <v>0.32374607664992316</v>
      </c>
      <c r="F25" s="449">
        <f t="shared" si="6"/>
        <v>155.65825947695902</v>
      </c>
      <c r="G25" s="449">
        <f t="shared" si="7"/>
        <v>0</v>
      </c>
      <c r="H25" s="449">
        <f t="shared" si="8"/>
        <v>0</v>
      </c>
      <c r="I25" s="449">
        <f t="shared" si="9"/>
        <v>0</v>
      </c>
      <c r="J25" s="449">
        <f t="shared" si="10"/>
        <v>4.3056463394130216</v>
      </c>
      <c r="K25" s="449">
        <f t="shared" si="11"/>
        <v>0</v>
      </c>
      <c r="L25" s="449">
        <f t="shared" si="12"/>
        <v>0</v>
      </c>
      <c r="M25" s="449">
        <f t="shared" si="13"/>
        <v>0</v>
      </c>
      <c r="N25" s="449">
        <f t="shared" si="14"/>
        <v>0</v>
      </c>
      <c r="O25" s="449">
        <f t="shared" si="15"/>
        <v>0</v>
      </c>
      <c r="P25" s="450">
        <f t="shared" si="16"/>
        <v>0</v>
      </c>
      <c r="Q25" s="448">
        <f t="shared" ca="1" si="17"/>
        <v>217.60625320356732</v>
      </c>
    </row>
    <row r="26" spans="1:17">
      <c r="A26" s="448" t="s">
        <v>643</v>
      </c>
      <c r="B26" s="449">
        <f t="shared" ca="1" si="2"/>
        <v>11003.066595075861</v>
      </c>
      <c r="C26" s="449">
        <f t="shared" ca="1" si="3"/>
        <v>0</v>
      </c>
      <c r="D26" s="449">
        <f t="shared" si="4"/>
        <v>3355.1787202708874</v>
      </c>
      <c r="E26" s="449">
        <f t="shared" si="5"/>
        <v>109.55586563434117</v>
      </c>
      <c r="F26" s="449">
        <f t="shared" si="6"/>
        <v>3502.2730697680377</v>
      </c>
      <c r="G26" s="449">
        <f t="shared" si="7"/>
        <v>0</v>
      </c>
      <c r="H26" s="449">
        <f t="shared" si="8"/>
        <v>0</v>
      </c>
      <c r="I26" s="449">
        <f t="shared" si="9"/>
        <v>0</v>
      </c>
      <c r="J26" s="449">
        <f t="shared" si="10"/>
        <v>99.685678136649287</v>
      </c>
      <c r="K26" s="449">
        <f t="shared" si="11"/>
        <v>0</v>
      </c>
      <c r="L26" s="449">
        <f t="shared" si="12"/>
        <v>0</v>
      </c>
      <c r="M26" s="449">
        <f t="shared" si="13"/>
        <v>0</v>
      </c>
      <c r="N26" s="449">
        <f t="shared" si="14"/>
        <v>0</v>
      </c>
      <c r="O26" s="449">
        <f t="shared" si="15"/>
        <v>0</v>
      </c>
      <c r="P26" s="450">
        <f t="shared" si="16"/>
        <v>0</v>
      </c>
      <c r="Q26" s="448">
        <f t="shared" ca="1" si="17"/>
        <v>18069.759928885775</v>
      </c>
    </row>
    <row r="27" spans="1:17" s="454" customFormat="1">
      <c r="A27" s="452" t="s">
        <v>562</v>
      </c>
      <c r="B27" s="760">
        <f t="shared" ca="1" si="2"/>
        <v>0.8521943886805613</v>
      </c>
      <c r="C27" s="453">
        <f t="shared" ca="1" si="3"/>
        <v>0</v>
      </c>
      <c r="D27" s="453">
        <f t="shared" si="4"/>
        <v>2.4402796993310605</v>
      </c>
      <c r="E27" s="453">
        <f t="shared" si="5"/>
        <v>330.80395554163016</v>
      </c>
      <c r="F27" s="453">
        <f t="shared" si="6"/>
        <v>0</v>
      </c>
      <c r="G27" s="453">
        <f t="shared" si="7"/>
        <v>72507.497775672338</v>
      </c>
      <c r="H27" s="453">
        <f t="shared" si="8"/>
        <v>10422.731140759435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83264.325346061421</v>
      </c>
    </row>
    <row r="28" spans="1:17">
      <c r="A28" s="448" t="s">
        <v>552</v>
      </c>
      <c r="B28" s="449">
        <f t="shared" ca="1" si="2"/>
        <v>5.0736271026412929</v>
      </c>
      <c r="C28" s="449">
        <f t="shared" ca="1" si="3"/>
        <v>0</v>
      </c>
      <c r="D28" s="449">
        <f t="shared" si="4"/>
        <v>0</v>
      </c>
      <c r="E28" s="449">
        <f t="shared" si="5"/>
        <v>0</v>
      </c>
      <c r="F28" s="449">
        <f t="shared" si="6"/>
        <v>0</v>
      </c>
      <c r="G28" s="449">
        <f t="shared" si="7"/>
        <v>1345.6985755108637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1350.772202613505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759.69122061679536</v>
      </c>
      <c r="C32" s="449">
        <f t="shared" ca="1" si="3"/>
        <v>0</v>
      </c>
      <c r="D32" s="449">
        <f t="shared" si="4"/>
        <v>1627.4515686788877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2387.1427892956831</v>
      </c>
    </row>
    <row r="33" spans="1:17" s="461" customFormat="1">
      <c r="A33" s="458" t="s">
        <v>556</v>
      </c>
      <c r="B33" s="459">
        <f ca="1">SUM(B22:B32)</f>
        <v>45805.935652652566</v>
      </c>
      <c r="C33" s="459">
        <f t="shared" ref="C33:Q33" ca="1" si="19">SUM(C22:C32)</f>
        <v>458.31932773109253</v>
      </c>
      <c r="D33" s="459">
        <f t="shared" ca="1" si="19"/>
        <v>63992.732048002697</v>
      </c>
      <c r="E33" s="459">
        <f t="shared" si="19"/>
        <v>1335.8670425027253</v>
      </c>
      <c r="F33" s="459">
        <f t="shared" ca="1" si="19"/>
        <v>22064.190329820984</v>
      </c>
      <c r="G33" s="459">
        <f t="shared" si="19"/>
        <v>73853.1963511832</v>
      </c>
      <c r="H33" s="459">
        <f t="shared" si="19"/>
        <v>10422.731140759435</v>
      </c>
      <c r="I33" s="459">
        <f t="shared" si="19"/>
        <v>0</v>
      </c>
      <c r="J33" s="459">
        <f t="shared" si="19"/>
        <v>516.09771187054571</v>
      </c>
      <c r="K33" s="459">
        <f t="shared" si="19"/>
        <v>0</v>
      </c>
      <c r="L33" s="459">
        <f t="shared" ca="1" si="19"/>
        <v>0</v>
      </c>
      <c r="M33" s="459">
        <f t="shared" si="19"/>
        <v>0</v>
      </c>
      <c r="N33" s="459">
        <f t="shared" ca="1" si="19"/>
        <v>0</v>
      </c>
      <c r="O33" s="459">
        <f t="shared" si="19"/>
        <v>0</v>
      </c>
      <c r="P33" s="459">
        <f t="shared" si="19"/>
        <v>0</v>
      </c>
      <c r="Q33" s="459">
        <f t="shared" ca="1" si="19"/>
        <v>218449.06960452325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2584.1532520572223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1350</v>
      </c>
      <c r="D8" s="1008">
        <f>'SEAP template'!D76</f>
        <v>1588.2352941176473</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320.82352941176475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2584.1532520572223</v>
      </c>
      <c r="C10" s="1012">
        <f>SUM(C4:C9)</f>
        <v>1350</v>
      </c>
      <c r="D10" s="1012">
        <f t="shared" ref="D10:H10" si="0">SUM(D8:D9)</f>
        <v>1588.2352941176473</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320.82352941176475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0.2183843786025626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1928.5714285714287</v>
      </c>
      <c r="D17" s="1009">
        <f>'SEAP template'!D87</f>
        <v>2268.9075630252105</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458.31932773109253</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1928.5714285714287</v>
      </c>
      <c r="D20" s="1012">
        <f t="shared" ref="D20:H20" si="2">SUM(D17:D19)</f>
        <v>2268.9075630252105</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458.31932773109253</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0.2183843786025626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0.2183843786025626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0.2183843786025626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16079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444</v>
      </c>
      <c r="C14" s="326"/>
      <c r="D14" s="326"/>
      <c r="E14" s="326"/>
      <c r="F14" s="326"/>
    </row>
    <row r="15" spans="1:6">
      <c r="A15" s="1282" t="s">
        <v>183</v>
      </c>
      <c r="B15" s="1283">
        <v>0</v>
      </c>
      <c r="C15" s="326"/>
      <c r="D15" s="326"/>
      <c r="E15" s="326"/>
      <c r="F15" s="326"/>
    </row>
    <row r="16" spans="1:6">
      <c r="A16" s="1282" t="s">
        <v>6</v>
      </c>
      <c r="B16" s="1283">
        <v>0</v>
      </c>
      <c r="C16" s="326"/>
      <c r="D16" s="326"/>
      <c r="E16" s="326"/>
      <c r="F16" s="326"/>
    </row>
    <row r="17" spans="1:6">
      <c r="A17" s="1282" t="s">
        <v>7</v>
      </c>
      <c r="B17" s="1283">
        <v>19</v>
      </c>
      <c r="C17" s="326"/>
      <c r="D17" s="326"/>
      <c r="E17" s="326"/>
      <c r="F17" s="326"/>
    </row>
    <row r="18" spans="1:6">
      <c r="A18" s="1282" t="s">
        <v>8</v>
      </c>
      <c r="B18" s="1283">
        <v>15</v>
      </c>
      <c r="C18" s="326"/>
      <c r="D18" s="326"/>
      <c r="E18" s="326"/>
      <c r="F18" s="326"/>
    </row>
    <row r="19" spans="1:6">
      <c r="A19" s="1282" t="s">
        <v>9</v>
      </c>
      <c r="B19" s="1283">
        <v>10</v>
      </c>
      <c r="C19" s="326"/>
      <c r="D19" s="326"/>
      <c r="E19" s="326"/>
      <c r="F19" s="326"/>
    </row>
    <row r="20" spans="1:6">
      <c r="A20" s="1282" t="s">
        <v>10</v>
      </c>
      <c r="B20" s="1283">
        <v>12</v>
      </c>
      <c r="C20" s="326"/>
      <c r="D20" s="326"/>
      <c r="E20" s="326"/>
      <c r="F20" s="326"/>
    </row>
    <row r="21" spans="1:6">
      <c r="A21" s="1282" t="s">
        <v>11</v>
      </c>
      <c r="B21" s="1283">
        <v>0</v>
      </c>
      <c r="C21" s="326"/>
      <c r="D21" s="326"/>
      <c r="E21" s="326"/>
      <c r="F21" s="326"/>
    </row>
    <row r="22" spans="1:6">
      <c r="A22" s="1282" t="s">
        <v>12</v>
      </c>
      <c r="B22" s="1283">
        <v>714</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1</v>
      </c>
      <c r="C25" s="326"/>
      <c r="D25" s="326"/>
      <c r="E25" s="326"/>
      <c r="F25" s="326"/>
    </row>
    <row r="26" spans="1:6">
      <c r="A26" s="1282" t="s">
        <v>16</v>
      </c>
      <c r="B26" s="1283">
        <v>102</v>
      </c>
      <c r="C26" s="326"/>
      <c r="D26" s="326"/>
      <c r="E26" s="326"/>
      <c r="F26" s="326"/>
    </row>
    <row r="27" spans="1:6">
      <c r="A27" s="1282" t="s">
        <v>17</v>
      </c>
      <c r="B27" s="1283">
        <v>3</v>
      </c>
      <c r="C27" s="326"/>
      <c r="D27" s="326"/>
      <c r="E27" s="326"/>
      <c r="F27" s="326"/>
    </row>
    <row r="28" spans="1:6" s="43" customFormat="1">
      <c r="A28" s="1284" t="s">
        <v>18</v>
      </c>
      <c r="B28" s="1285">
        <v>68</v>
      </c>
      <c r="C28" s="332"/>
      <c r="D28" s="332"/>
      <c r="E28" s="332"/>
      <c r="F28" s="332"/>
    </row>
    <row r="29" spans="1:6">
      <c r="A29" s="1284" t="s">
        <v>978</v>
      </c>
      <c r="B29" s="1285">
        <v>22</v>
      </c>
      <c r="C29" s="332"/>
      <c r="D29" s="332"/>
      <c r="E29" s="332"/>
      <c r="F29" s="332"/>
    </row>
    <row r="30" spans="1:6">
      <c r="A30" s="1277" t="s">
        <v>979</v>
      </c>
      <c r="B30" s="1286">
        <v>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3</v>
      </c>
      <c r="F35" s="1283">
        <v>21345</v>
      </c>
    </row>
    <row r="36" spans="1:6">
      <c r="A36" s="1282" t="s">
        <v>24</v>
      </c>
      <c r="B36" s="1282" t="s">
        <v>26</v>
      </c>
      <c r="C36" s="1283">
        <v>0</v>
      </c>
      <c r="D36" s="1283">
        <v>0</v>
      </c>
      <c r="E36" s="1283">
        <v>4</v>
      </c>
      <c r="F36" s="1283">
        <v>163017.31016343701</v>
      </c>
    </row>
    <row r="37" spans="1:6">
      <c r="A37" s="1282" t="s">
        <v>24</v>
      </c>
      <c r="B37" s="1282" t="s">
        <v>27</v>
      </c>
      <c r="C37" s="1283">
        <v>0</v>
      </c>
      <c r="D37" s="1283">
        <v>0</v>
      </c>
      <c r="E37" s="1283">
        <v>0</v>
      </c>
      <c r="F37" s="1283">
        <v>0</v>
      </c>
    </row>
    <row r="38" spans="1:6">
      <c r="A38" s="1282" t="s">
        <v>24</v>
      </c>
      <c r="B38" s="1282" t="s">
        <v>28</v>
      </c>
      <c r="C38" s="1283">
        <v>4</v>
      </c>
      <c r="D38" s="1283">
        <v>3088928.5004791799</v>
      </c>
      <c r="E38" s="1283">
        <v>4</v>
      </c>
      <c r="F38" s="1283">
        <v>18909.175439432998</v>
      </c>
    </row>
    <row r="39" spans="1:6">
      <c r="A39" s="1282" t="s">
        <v>29</v>
      </c>
      <c r="B39" s="1282" t="s">
        <v>30</v>
      </c>
      <c r="C39" s="1283">
        <v>13616</v>
      </c>
      <c r="D39" s="1283">
        <v>199043722.31144699</v>
      </c>
      <c r="E39" s="1283">
        <v>16328</v>
      </c>
      <c r="F39" s="1283">
        <v>55584900.531839304</v>
      </c>
    </row>
    <row r="40" spans="1:6">
      <c r="A40" s="1282" t="s">
        <v>29</v>
      </c>
      <c r="B40" s="1282" t="s">
        <v>28</v>
      </c>
      <c r="C40" s="1283">
        <v>1</v>
      </c>
      <c r="D40" s="1283">
        <v>0</v>
      </c>
      <c r="E40" s="1283">
        <v>1</v>
      </c>
      <c r="F40" s="1283">
        <v>1563</v>
      </c>
    </row>
    <row r="41" spans="1:6">
      <c r="A41" s="1282" t="s">
        <v>31</v>
      </c>
      <c r="B41" s="1282" t="s">
        <v>32</v>
      </c>
      <c r="C41" s="1283">
        <v>60</v>
      </c>
      <c r="D41" s="1283">
        <v>4886656.9473444801</v>
      </c>
      <c r="E41" s="1283">
        <v>151</v>
      </c>
      <c r="F41" s="1283">
        <v>7355923.4596119504</v>
      </c>
    </row>
    <row r="42" spans="1:6">
      <c r="A42" s="1282" t="s">
        <v>31</v>
      </c>
      <c r="B42" s="1282" t="s">
        <v>33</v>
      </c>
      <c r="C42" s="1283">
        <v>6</v>
      </c>
      <c r="D42" s="1283">
        <v>6090240.9822065998</v>
      </c>
      <c r="E42" s="1283">
        <v>6</v>
      </c>
      <c r="F42" s="1283">
        <v>4674740.8318458097</v>
      </c>
    </row>
    <row r="43" spans="1:6">
      <c r="A43" s="1282" t="s">
        <v>31</v>
      </c>
      <c r="B43" s="1282" t="s">
        <v>34</v>
      </c>
      <c r="C43" s="1283">
        <v>0</v>
      </c>
      <c r="D43" s="1283">
        <v>0</v>
      </c>
      <c r="E43" s="1283">
        <v>0</v>
      </c>
      <c r="F43" s="1283">
        <v>0</v>
      </c>
    </row>
    <row r="44" spans="1:6">
      <c r="A44" s="1282" t="s">
        <v>31</v>
      </c>
      <c r="B44" s="1282" t="s">
        <v>35</v>
      </c>
      <c r="C44" s="1283">
        <v>5</v>
      </c>
      <c r="D44" s="1283">
        <v>623762.73117870395</v>
      </c>
      <c r="E44" s="1283">
        <v>10</v>
      </c>
      <c r="F44" s="1283">
        <v>2217376.11093181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4</v>
      </c>
      <c r="D47" s="1283">
        <v>66616.383412663694</v>
      </c>
      <c r="E47" s="1283">
        <v>7</v>
      </c>
      <c r="F47" s="1283">
        <v>71827.846625429695</v>
      </c>
    </row>
    <row r="48" spans="1:6">
      <c r="A48" s="1282" t="s">
        <v>31</v>
      </c>
      <c r="B48" s="1282" t="s">
        <v>28</v>
      </c>
      <c r="C48" s="1283">
        <v>44</v>
      </c>
      <c r="D48" s="1283">
        <v>6245311.2337563504</v>
      </c>
      <c r="E48" s="1283">
        <v>45</v>
      </c>
      <c r="F48" s="1283">
        <v>33213136.0336603</v>
      </c>
    </row>
    <row r="49" spans="1:6">
      <c r="A49" s="1282" t="s">
        <v>31</v>
      </c>
      <c r="B49" s="1282" t="s">
        <v>39</v>
      </c>
      <c r="C49" s="1283">
        <v>3</v>
      </c>
      <c r="D49" s="1283">
        <v>91568.109172051802</v>
      </c>
      <c r="E49" s="1283">
        <v>3</v>
      </c>
      <c r="F49" s="1283">
        <v>46742.145041771597</v>
      </c>
    </row>
    <row r="50" spans="1:6">
      <c r="A50" s="1282" t="s">
        <v>31</v>
      </c>
      <c r="B50" s="1282" t="s">
        <v>40</v>
      </c>
      <c r="C50" s="1283">
        <v>8</v>
      </c>
      <c r="D50" s="1283">
        <v>410251.20151604799</v>
      </c>
      <c r="E50" s="1283">
        <v>14</v>
      </c>
      <c r="F50" s="1283">
        <v>2804198.9143640301</v>
      </c>
    </row>
    <row r="51" spans="1:6">
      <c r="A51" s="1282" t="s">
        <v>41</v>
      </c>
      <c r="B51" s="1282" t="s">
        <v>42</v>
      </c>
      <c r="C51" s="1283">
        <v>3</v>
      </c>
      <c r="D51" s="1283">
        <v>118769.415067091</v>
      </c>
      <c r="E51" s="1283">
        <v>9</v>
      </c>
      <c r="F51" s="1283">
        <v>75898.588283515899</v>
      </c>
    </row>
    <row r="52" spans="1:6">
      <c r="A52" s="1282" t="s">
        <v>41</v>
      </c>
      <c r="B52" s="1282" t="s">
        <v>28</v>
      </c>
      <c r="C52" s="1283">
        <v>3</v>
      </c>
      <c r="D52" s="1283">
        <v>32583.942539750798</v>
      </c>
      <c r="E52" s="1283">
        <v>6</v>
      </c>
      <c r="F52" s="1283">
        <v>60289.788978003897</v>
      </c>
    </row>
    <row r="53" spans="1:6">
      <c r="A53" s="1282" t="s">
        <v>43</v>
      </c>
      <c r="B53" s="1282" t="s">
        <v>44</v>
      </c>
      <c r="C53" s="1283">
        <v>493</v>
      </c>
      <c r="D53" s="1283">
        <v>8056690.9340538997</v>
      </c>
      <c r="E53" s="1283">
        <v>679</v>
      </c>
      <c r="F53" s="1283">
        <v>3478688.4734065901</v>
      </c>
    </row>
    <row r="54" spans="1:6">
      <c r="A54" s="1282" t="s">
        <v>45</v>
      </c>
      <c r="B54" s="1282" t="s">
        <v>46</v>
      </c>
      <c r="C54" s="1283">
        <v>0</v>
      </c>
      <c r="D54" s="1283">
        <v>0</v>
      </c>
      <c r="E54" s="1283">
        <v>1</v>
      </c>
      <c r="F54" s="1283">
        <v>2768377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85</v>
      </c>
      <c r="D57" s="1283">
        <v>3829663.5496733398</v>
      </c>
      <c r="E57" s="1283">
        <v>134</v>
      </c>
      <c r="F57" s="1283">
        <v>2974524.0287958202</v>
      </c>
    </row>
    <row r="58" spans="1:6">
      <c r="A58" s="1282" t="s">
        <v>48</v>
      </c>
      <c r="B58" s="1282" t="s">
        <v>50</v>
      </c>
      <c r="C58" s="1283">
        <v>51</v>
      </c>
      <c r="D58" s="1283">
        <v>2789869.7215438099</v>
      </c>
      <c r="E58" s="1283">
        <v>81</v>
      </c>
      <c r="F58" s="1283">
        <v>1088307.04397894</v>
      </c>
    </row>
    <row r="59" spans="1:6">
      <c r="A59" s="1282" t="s">
        <v>48</v>
      </c>
      <c r="B59" s="1282" t="s">
        <v>51</v>
      </c>
      <c r="C59" s="1283">
        <v>232</v>
      </c>
      <c r="D59" s="1283">
        <v>24163415.143638801</v>
      </c>
      <c r="E59" s="1283">
        <v>375</v>
      </c>
      <c r="F59" s="1283">
        <v>21648387.9195772</v>
      </c>
    </row>
    <row r="60" spans="1:6">
      <c r="A60" s="1282" t="s">
        <v>48</v>
      </c>
      <c r="B60" s="1282" t="s">
        <v>52</v>
      </c>
      <c r="C60" s="1283">
        <v>135</v>
      </c>
      <c r="D60" s="1283">
        <v>17901683.173692599</v>
      </c>
      <c r="E60" s="1283">
        <v>243</v>
      </c>
      <c r="F60" s="1283">
        <v>11397311.583810801</v>
      </c>
    </row>
    <row r="61" spans="1:6">
      <c r="A61" s="1282" t="s">
        <v>48</v>
      </c>
      <c r="B61" s="1282" t="s">
        <v>53</v>
      </c>
      <c r="C61" s="1283">
        <v>532</v>
      </c>
      <c r="D61" s="1283">
        <v>54643667.7403621</v>
      </c>
      <c r="E61" s="1283">
        <v>995</v>
      </c>
      <c r="F61" s="1283">
        <v>33115543.135962401</v>
      </c>
    </row>
    <row r="62" spans="1:6">
      <c r="A62" s="1282" t="s">
        <v>48</v>
      </c>
      <c r="B62" s="1282" t="s">
        <v>54</v>
      </c>
      <c r="C62" s="1283">
        <v>29</v>
      </c>
      <c r="D62" s="1283">
        <v>7704113.1359297903</v>
      </c>
      <c r="E62" s="1283">
        <v>24</v>
      </c>
      <c r="F62" s="1283">
        <v>1762979.3631225401</v>
      </c>
    </row>
    <row r="63" spans="1:6">
      <c r="A63" s="1282" t="s">
        <v>48</v>
      </c>
      <c r="B63" s="1282" t="s">
        <v>28</v>
      </c>
      <c r="C63" s="1283">
        <v>108</v>
      </c>
      <c r="D63" s="1283">
        <v>17903641.459838301</v>
      </c>
      <c r="E63" s="1283">
        <v>114</v>
      </c>
      <c r="F63" s="1283">
        <v>23115055.801827502</v>
      </c>
    </row>
    <row r="64" spans="1:6">
      <c r="A64" s="1282" t="s">
        <v>55</v>
      </c>
      <c r="B64" s="1282" t="s">
        <v>56</v>
      </c>
      <c r="C64" s="1283">
        <v>0</v>
      </c>
      <c r="D64" s="1283">
        <v>0</v>
      </c>
      <c r="E64" s="1283">
        <v>0</v>
      </c>
      <c r="F64" s="1283">
        <v>0</v>
      </c>
    </row>
    <row r="65" spans="1:6">
      <c r="A65" s="1282" t="s">
        <v>55</v>
      </c>
      <c r="B65" s="1282" t="s">
        <v>28</v>
      </c>
      <c r="C65" s="1283">
        <v>6</v>
      </c>
      <c r="D65" s="1283">
        <v>954414.87654413399</v>
      </c>
      <c r="E65" s="1283">
        <v>4</v>
      </c>
      <c r="F65" s="1283">
        <v>427694.26366276701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11</v>
      </c>
      <c r="D68" s="1286">
        <v>891026.44041887496</v>
      </c>
      <c r="E68" s="1286">
        <v>33</v>
      </c>
      <c r="F68" s="1286">
        <v>1222891.32459805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68520220</v>
      </c>
      <c r="E73" s="447"/>
      <c r="F73" s="326"/>
    </row>
    <row r="74" spans="1:6">
      <c r="A74" s="1282" t="s">
        <v>63</v>
      </c>
      <c r="B74" s="1282" t="s">
        <v>760</v>
      </c>
      <c r="C74" s="1296" t="s">
        <v>761</v>
      </c>
      <c r="D74" s="1297">
        <v>3110124.2819813164</v>
      </c>
      <c r="E74" s="447"/>
      <c r="F74" s="326"/>
    </row>
    <row r="75" spans="1:6">
      <c r="A75" s="1282" t="s">
        <v>64</v>
      </c>
      <c r="B75" s="1282" t="s">
        <v>758</v>
      </c>
      <c r="C75" s="1296" t="s">
        <v>762</v>
      </c>
      <c r="D75" s="1297">
        <v>20636700</v>
      </c>
      <c r="E75" s="447"/>
      <c r="F75" s="326"/>
    </row>
    <row r="76" spans="1:6">
      <c r="A76" s="1282" t="s">
        <v>64</v>
      </c>
      <c r="B76" s="1282" t="s">
        <v>760</v>
      </c>
      <c r="C76" s="1296" t="s">
        <v>763</v>
      </c>
      <c r="D76" s="1297">
        <v>71127.100000000006</v>
      </c>
      <c r="E76" s="447"/>
      <c r="F76" s="326"/>
    </row>
    <row r="77" spans="1:6">
      <c r="A77" s="1282" t="s">
        <v>65</v>
      </c>
      <c r="B77" s="1282" t="s">
        <v>758</v>
      </c>
      <c r="C77" s="1296" t="s">
        <v>764</v>
      </c>
      <c r="D77" s="1297">
        <v>261599621</v>
      </c>
      <c r="E77" s="447"/>
      <c r="F77" s="326"/>
    </row>
    <row r="78" spans="1:6">
      <c r="A78" s="1277" t="s">
        <v>65</v>
      </c>
      <c r="B78" s="1277" t="s">
        <v>760</v>
      </c>
      <c r="C78" s="1277" t="s">
        <v>765</v>
      </c>
      <c r="D78" s="1298">
        <v>31388173</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1382347.4360373672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916.23381023714205</v>
      </c>
      <c r="C91" s="326"/>
      <c r="D91" s="326"/>
      <c r="E91" s="326"/>
      <c r="F91" s="326"/>
    </row>
    <row r="92" spans="1:6">
      <c r="A92" s="1277" t="s">
        <v>68</v>
      </c>
      <c r="B92" s="1278">
        <v>1667.9194418200802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10093</v>
      </c>
      <c r="C97" s="326"/>
      <c r="D97" s="326"/>
      <c r="E97" s="326"/>
      <c r="F97" s="326"/>
    </row>
    <row r="98" spans="1:6">
      <c r="A98" s="1282" t="s">
        <v>71</v>
      </c>
      <c r="B98" s="1283">
        <v>9</v>
      </c>
      <c r="C98" s="326"/>
      <c r="D98" s="326"/>
      <c r="E98" s="326"/>
      <c r="F98" s="326"/>
    </row>
    <row r="99" spans="1:6">
      <c r="A99" s="1282" t="s">
        <v>72</v>
      </c>
      <c r="B99" s="1283">
        <v>41</v>
      </c>
      <c r="C99" s="326"/>
      <c r="D99" s="326"/>
      <c r="E99" s="326"/>
      <c r="F99" s="326"/>
    </row>
    <row r="100" spans="1:6">
      <c r="A100" s="1282" t="s">
        <v>73</v>
      </c>
      <c r="B100" s="1283">
        <v>801</v>
      </c>
      <c r="C100" s="326"/>
      <c r="D100" s="326"/>
      <c r="E100" s="326"/>
      <c r="F100" s="326"/>
    </row>
    <row r="101" spans="1:6">
      <c r="A101" s="1282" t="s">
        <v>74</v>
      </c>
      <c r="B101" s="1283">
        <v>55</v>
      </c>
      <c r="C101" s="326"/>
      <c r="D101" s="326"/>
      <c r="E101" s="326"/>
      <c r="F101" s="326"/>
    </row>
    <row r="102" spans="1:6">
      <c r="A102" s="1282" t="s">
        <v>75</v>
      </c>
      <c r="B102" s="1283">
        <v>331</v>
      </c>
      <c r="C102" s="326"/>
      <c r="D102" s="326"/>
      <c r="E102" s="326"/>
      <c r="F102" s="326"/>
    </row>
    <row r="103" spans="1:6">
      <c r="A103" s="1282" t="s">
        <v>76</v>
      </c>
      <c r="B103" s="1283">
        <v>206</v>
      </c>
      <c r="C103" s="326"/>
      <c r="D103" s="326"/>
      <c r="E103" s="326"/>
      <c r="F103" s="326"/>
    </row>
    <row r="104" spans="1:6">
      <c r="A104" s="1282" t="s">
        <v>77</v>
      </c>
      <c r="B104" s="1283">
        <v>2710</v>
      </c>
      <c r="C104" s="326"/>
      <c r="D104" s="326"/>
      <c r="E104" s="326"/>
      <c r="F104" s="326"/>
    </row>
    <row r="105" spans="1:6">
      <c r="A105" s="1277" t="s">
        <v>78</v>
      </c>
      <c r="B105" s="128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31</v>
      </c>
      <c r="C129" s="326"/>
      <c r="D129" s="326"/>
      <c r="E129" s="326"/>
      <c r="F129" s="326"/>
    </row>
    <row r="130" spans="1:6">
      <c r="A130" s="1282" t="s">
        <v>290</v>
      </c>
      <c r="B130" s="1283">
        <v>0</v>
      </c>
      <c r="C130" s="326"/>
      <c r="D130" s="326"/>
      <c r="E130" s="326"/>
      <c r="F130" s="326"/>
    </row>
    <row r="131" spans="1:6">
      <c r="A131" s="1282" t="s">
        <v>291</v>
      </c>
      <c r="B131" s="1283">
        <v>4</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209749.14023504726</v>
      </c>
      <c r="C3" s="43" t="s">
        <v>169</v>
      </c>
      <c r="D3" s="43"/>
      <c r="E3" s="156"/>
      <c r="F3" s="43"/>
      <c r="G3" s="43"/>
      <c r="H3" s="43"/>
      <c r="I3" s="43"/>
      <c r="J3" s="43"/>
      <c r="K3" s="96"/>
    </row>
    <row r="4" spans="1:11">
      <c r="A4" s="354" t="s">
        <v>170</v>
      </c>
      <c r="B4" s="49">
        <f>IF(ISERROR('SEAP template'!B78+'SEAP template'!C78),0,'SEAP template'!B78+'SEAP template'!C78)</f>
        <v>3934.1532520572223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320.82352941176475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0.2183843786025626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458.31932773109253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1928.5714285714287</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2768.377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2768.377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0.2183843786025626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604.57029088262641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55586.463531839305</v>
      </c>
      <c r="C5" s="17">
        <f>IF(ISERROR('Eigen informatie GS &amp; warmtenet'!B57),0,'Eigen informatie GS &amp; warmtenet'!B57)</f>
        <v>0</v>
      </c>
      <c r="D5" s="30">
        <f>(SUM(HH_hh_gas_kWh,HH_rest_gas_kWh)/1000)*0.902</f>
        <v>179537.43752492519</v>
      </c>
      <c r="E5" s="17">
        <f>B32*B41</f>
        <v>1514.5875237789855</v>
      </c>
      <c r="F5" s="17">
        <f>B36*B45</f>
        <v>51699.529770326146</v>
      </c>
      <c r="G5" s="18"/>
      <c r="H5" s="17"/>
      <c r="I5" s="17"/>
      <c r="J5" s="17">
        <f>B35*B44+C35*C44</f>
        <v>1164.1423372725519</v>
      </c>
      <c r="K5" s="17"/>
      <c r="L5" s="17"/>
      <c r="M5" s="17"/>
      <c r="N5" s="17">
        <f>B34*B43+C34*C43</f>
        <v>18141.104365829116</v>
      </c>
      <c r="O5" s="17">
        <f>B52*B53*B54</f>
        <v>57.843333333333334</v>
      </c>
      <c r="P5" s="17">
        <f>B60*B61*B62/1000-B60*B61*B62/1000/B63</f>
        <v>95.333333333333343</v>
      </c>
    </row>
    <row r="6" spans="1:16">
      <c r="A6" s="16" t="s">
        <v>621</v>
      </c>
      <c r="B6" s="768">
        <f>kWh_PV_kleiner_dan_10kW</f>
        <v>916.23381023714205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56502.697342076448</v>
      </c>
      <c r="C8" s="21">
        <f>C5</f>
        <v>0</v>
      </c>
      <c r="D8" s="21">
        <f>D5</f>
        <v>179537.43752492519</v>
      </c>
      <c r="E8" s="21">
        <f>E5</f>
        <v>1514.5875237789855</v>
      </c>
      <c r="F8" s="21">
        <f>F5</f>
        <v>51699.529770326146</v>
      </c>
      <c r="G8" s="21"/>
      <c r="H8" s="21"/>
      <c r="I8" s="21"/>
      <c r="J8" s="21">
        <f>J5</f>
        <v>1164.1423372725519</v>
      </c>
      <c r="K8" s="21"/>
      <c r="L8" s="21">
        <f>L5</f>
        <v>0</v>
      </c>
      <c r="M8" s="21">
        <f>M5</f>
        <v>0</v>
      </c>
      <c r="N8" s="21">
        <f>N5</f>
        <v>18141.104365829116</v>
      </c>
      <c r="O8" s="21">
        <f>O5</f>
        <v>57.843333333333334</v>
      </c>
      <c r="P8" s="21">
        <f>P5</f>
        <v>95.333333333333343</v>
      </c>
    </row>
    <row r="9" spans="1:16">
      <c r="B9" s="19"/>
      <c r="C9" s="19"/>
      <c r="D9" s="256"/>
      <c r="E9" s="19"/>
      <c r="F9" s="19"/>
      <c r="G9" s="19"/>
      <c r="H9" s="19"/>
      <c r="I9" s="19"/>
      <c r="J9" s="19"/>
      <c r="K9" s="19"/>
      <c r="L9" s="19"/>
      <c r="M9" s="19"/>
      <c r="N9" s="19"/>
      <c r="O9" s="19"/>
      <c r="P9" s="19"/>
    </row>
    <row r="10" spans="1:16">
      <c r="A10" s="24" t="s">
        <v>213</v>
      </c>
      <c r="B10" s="25">
        <f ca="1">'EF ele_warmte'!B12</f>
        <v>0.2183843786025626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12339.30644841803</v>
      </c>
      <c r="C12" s="23">
        <f ca="1">C10*C8</f>
        <v>0</v>
      </c>
      <c r="D12" s="23">
        <f>D8*D10</f>
        <v>36266.562380034891</v>
      </c>
      <c r="E12" s="23">
        <f>E10*E8</f>
        <v>343.81136789782971</v>
      </c>
      <c r="F12" s="23">
        <f>F10*F8</f>
        <v>13803.774448677083</v>
      </c>
      <c r="G12" s="23"/>
      <c r="H12" s="23"/>
      <c r="I12" s="23"/>
      <c r="J12" s="23">
        <f>J10*J8</f>
        <v>412.10638739448336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16079</v>
      </c>
      <c r="C26" s="36"/>
      <c r="D26" s="226"/>
    </row>
    <row r="27" spans="1:5" s="15" customFormat="1">
      <c r="A27" s="228" t="s">
        <v>701</v>
      </c>
      <c r="B27" s="37">
        <f>SUM(HH_hh_gas_aantal,HH_rest_gas_aantal)</f>
        <v>13617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12936.15</v>
      </c>
      <c r="C31" s="34" t="s">
        <v>110</v>
      </c>
      <c r="D31" s="172"/>
    </row>
    <row r="32" spans="1:5">
      <c r="A32" s="169" t="s">
        <v>72</v>
      </c>
      <c r="B32" s="33">
        <f>IF((B21*($B$26-($B$27-0.05*$B$27)-$B$60))&lt;0,0,B21*($B$26-($B$27-0.05*$B$27)-$B$60))</f>
        <v>22.246002992537765</v>
      </c>
      <c r="C32" s="34" t="s">
        <v>110</v>
      </c>
      <c r="D32" s="172"/>
    </row>
    <row r="33" spans="1:6">
      <c r="A33" s="169" t="s">
        <v>73</v>
      </c>
      <c r="B33" s="33">
        <f>IF((B22*($B$26-($B$27-0.05*$B$27)-$B$60))&lt;0,0,B22*($B$26-($B$27-0.05*$B$27)-$B$60))</f>
        <v>637.56741909905861</v>
      </c>
      <c r="C33" s="34" t="s">
        <v>110</v>
      </c>
      <c r="D33" s="172"/>
    </row>
    <row r="34" spans="1:6">
      <c r="A34" s="169" t="s">
        <v>74</v>
      </c>
      <c r="B34" s="33">
        <f>IF((B24*($B$26-($B$27-0.05*$B$27)-$B$60))&lt;0,0,B24*($B$26-($B$27-0.05*$B$27)-$B$60))</f>
        <v>127.13768138428767</v>
      </c>
      <c r="C34" s="33">
        <f>B26*C24</f>
        <v>3287.7955672436574</v>
      </c>
      <c r="D34" s="231"/>
    </row>
    <row r="35" spans="1:6">
      <c r="A35" s="169" t="s">
        <v>76</v>
      </c>
      <c r="B35" s="33">
        <f>IF((B19*($B$26-($B$27-0.05*$B$27)-$B$60))&lt;0,0,B19*($B$26-($B$27-0.05*$B$27)-$B$60))</f>
        <v>66.208342239695739</v>
      </c>
      <c r="C35" s="33">
        <f>B35/2</f>
        <v>33.104171119847869</v>
      </c>
      <c r="D35" s="231"/>
    </row>
    <row r="36" spans="1:6">
      <c r="A36" s="169" t="s">
        <v>77</v>
      </c>
      <c r="B36" s="33">
        <f>IF((B18*($B$26-($B$27-0.05*$B$27)-$B$60))&lt;0,0,B18*($B$26-($B$27-0.05*$B$27)-$B$60))</f>
        <v>2284.6905542844206</v>
      </c>
      <c r="C36" s="34" t="s">
        <v>110</v>
      </c>
      <c r="D36" s="172"/>
    </row>
    <row r="37" spans="1:6">
      <c r="A37" s="169" t="s">
        <v>78</v>
      </c>
      <c r="B37" s="33">
        <f>B60</f>
        <v>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95102.108877075196</v>
      </c>
      <c r="C5" s="17">
        <f>IF(ISERROR('Eigen informatie GS &amp; warmtenet'!B58),0,'Eigen informatie GS &amp; warmtenet'!B58)</f>
        <v>0</v>
      </c>
      <c r="D5" s="30">
        <f>SUM(D6:D12)</f>
        <v>116300.32064006022</v>
      </c>
      <c r="E5" s="17">
        <f>SUM(E6:E12)</f>
        <v>2428.9520147677285</v>
      </c>
      <c r="F5" s="17">
        <f>SUM(F6:F12)</f>
        <v>17237.769857299263</v>
      </c>
      <c r="G5" s="18"/>
      <c r="H5" s="17"/>
      <c r="I5" s="17"/>
      <c r="J5" s="17">
        <f>SUM(J6:J12)</f>
        <v>0</v>
      </c>
      <c r="K5" s="17"/>
      <c r="L5" s="17"/>
      <c r="M5" s="17"/>
      <c r="N5" s="17">
        <f>SUM(N6:N12)</f>
        <v>1621.8690606777413</v>
      </c>
      <c r="O5" s="17">
        <f>B38*B39*B40</f>
        <v>0</v>
      </c>
      <c r="P5" s="17">
        <f>B46*B47*B48/1000-B46*B47*B48/1000/B49</f>
        <v>76.266666666666666</v>
      </c>
      <c r="R5" s="32"/>
    </row>
    <row r="6" spans="1:18">
      <c r="A6" s="32" t="s">
        <v>53</v>
      </c>
      <c r="B6" s="37">
        <f>B26</f>
        <v>33115.543135962398</v>
      </c>
      <c r="C6" s="33"/>
      <c r="D6" s="37">
        <f>IF(ISERROR(TER_kantoor_gas_kWh/1000),0,TER_kantoor_gas_kWh/1000)*0.902</f>
        <v>49288.588301806616</v>
      </c>
      <c r="E6" s="33">
        <f>$C$26*'E Balans VL '!I12/100/3.6*1000000</f>
        <v>1159.1742779150693</v>
      </c>
      <c r="F6" s="33">
        <f>$C$26*('E Balans VL '!L12+'E Balans VL '!N12)/100/3.6*1000000</f>
        <v>5021.027323156025</v>
      </c>
      <c r="G6" s="34"/>
      <c r="H6" s="33"/>
      <c r="I6" s="33"/>
      <c r="J6" s="33">
        <f>$C$26*('E Balans VL '!D12+'E Balans VL '!E12)/100/3.6*1000000</f>
        <v>0</v>
      </c>
      <c r="K6" s="33"/>
      <c r="L6" s="33"/>
      <c r="M6" s="33"/>
      <c r="N6" s="33">
        <f>$C$26*'E Balans VL '!Y12/100/3.6*1000000</f>
        <v>255.97278356124207</v>
      </c>
      <c r="O6" s="33"/>
      <c r="P6" s="33"/>
      <c r="R6" s="32"/>
    </row>
    <row r="7" spans="1:18">
      <c r="A7" s="32" t="s">
        <v>52</v>
      </c>
      <c r="B7" s="37">
        <f t="shared" ref="B7:B12" si="0">B27</f>
        <v>11397.311583810801</v>
      </c>
      <c r="C7" s="33"/>
      <c r="D7" s="37">
        <f>IF(ISERROR(TER_horeca_gas_kWh/1000),0,TER_horeca_gas_kWh/1000)*0.902</f>
        <v>16147.318222670725</v>
      </c>
      <c r="E7" s="33">
        <f>$C$27*'E Balans VL '!I9/100/3.6*1000000</f>
        <v>642.95992066296378</v>
      </c>
      <c r="F7" s="33">
        <f>$C$27*('E Balans VL '!L9+'E Balans VL '!N9)/100/3.6*1000000</f>
        <v>1985.4747514319722</v>
      </c>
      <c r="G7" s="34"/>
      <c r="H7" s="33"/>
      <c r="I7" s="33"/>
      <c r="J7" s="33">
        <f>$C$27*('E Balans VL '!D9+'E Balans VL '!E9)/100/3.6*1000000</f>
        <v>0</v>
      </c>
      <c r="K7" s="33"/>
      <c r="L7" s="33"/>
      <c r="M7" s="33"/>
      <c r="N7" s="33">
        <f>$C$27*'E Balans VL '!Y9/100/3.6*1000000</f>
        <v>0</v>
      </c>
      <c r="O7" s="33"/>
      <c r="P7" s="33"/>
      <c r="R7" s="32"/>
    </row>
    <row r="8" spans="1:18">
      <c r="A8" s="6" t="s">
        <v>51</v>
      </c>
      <c r="B8" s="37">
        <f t="shared" si="0"/>
        <v>21648.387919577199</v>
      </c>
      <c r="C8" s="33"/>
      <c r="D8" s="37">
        <f>IF(ISERROR(TER_handel_gas_kWh/1000),0,TER_handel_gas_kWh/1000)*0.902</f>
        <v>21795.400459562199</v>
      </c>
      <c r="E8" s="33">
        <f>$C$28*'E Balans VL '!I13/100/3.6*1000000</f>
        <v>111.14062413479606</v>
      </c>
      <c r="F8" s="33">
        <f>$C$28*('E Balans VL '!L13+'E Balans VL '!N13)/100/3.6*1000000</f>
        <v>3337.8469152673238</v>
      </c>
      <c r="G8" s="34"/>
      <c r="H8" s="33"/>
      <c r="I8" s="33"/>
      <c r="J8" s="33">
        <f>$C$28*('E Balans VL '!D13+'E Balans VL '!E13)/100/3.6*1000000</f>
        <v>0</v>
      </c>
      <c r="K8" s="33"/>
      <c r="L8" s="33"/>
      <c r="M8" s="33"/>
      <c r="N8" s="33">
        <f>$C$28*'E Balans VL '!Y13/100/3.6*1000000</f>
        <v>10.125215284130412</v>
      </c>
      <c r="O8" s="33"/>
      <c r="P8" s="33"/>
      <c r="R8" s="32"/>
    </row>
    <row r="9" spans="1:18">
      <c r="A9" s="32" t="s">
        <v>50</v>
      </c>
      <c r="B9" s="37">
        <f t="shared" si="0"/>
        <v>1088.3070439789401</v>
      </c>
      <c r="C9" s="33"/>
      <c r="D9" s="37">
        <f>IF(ISERROR(TER_gezond_gas_kWh/1000),0,TER_gezond_gas_kWh/1000)*0.902</f>
        <v>2516.4624888325166</v>
      </c>
      <c r="E9" s="33">
        <f>$C$29*'E Balans VL '!I10/100/3.6*1000000</f>
        <v>0.45109551908428486</v>
      </c>
      <c r="F9" s="33">
        <f>$C$29*('E Balans VL '!L10+'E Balans VL '!N10)/100/3.6*1000000</f>
        <v>268.03441652695773</v>
      </c>
      <c r="G9" s="34"/>
      <c r="H9" s="33"/>
      <c r="I9" s="33"/>
      <c r="J9" s="33">
        <f>$C$29*('E Balans VL '!D10+'E Balans VL '!E10)/100/3.6*1000000</f>
        <v>0</v>
      </c>
      <c r="K9" s="33"/>
      <c r="L9" s="33"/>
      <c r="M9" s="33"/>
      <c r="N9" s="33">
        <f>$C$29*'E Balans VL '!Y10/100/3.6*1000000</f>
        <v>9.4056665560785238</v>
      </c>
      <c r="O9" s="33"/>
      <c r="P9" s="33"/>
      <c r="R9" s="32"/>
    </row>
    <row r="10" spans="1:18">
      <c r="A10" s="32" t="s">
        <v>49</v>
      </c>
      <c r="B10" s="37">
        <f t="shared" si="0"/>
        <v>2974.5240287958204</v>
      </c>
      <c r="C10" s="33"/>
      <c r="D10" s="37">
        <f>IF(ISERROR(TER_ander_gas_kWh/1000),0,TER_ander_gas_kWh/1000)*0.902</f>
        <v>3454.3565218053527</v>
      </c>
      <c r="E10" s="33">
        <f>$C$30*'E Balans VL '!I14/100/3.6*1000000</f>
        <v>18.132771869070748</v>
      </c>
      <c r="F10" s="33">
        <f>$C$30*('E Balans VL '!L14+'E Balans VL '!N14)/100/3.6*1000000</f>
        <v>788.58706639090656</v>
      </c>
      <c r="G10" s="34"/>
      <c r="H10" s="33"/>
      <c r="I10" s="33"/>
      <c r="J10" s="33">
        <f>$C$30*('E Balans VL '!D14+'E Balans VL '!E14)/100/3.6*1000000</f>
        <v>0</v>
      </c>
      <c r="K10" s="33"/>
      <c r="L10" s="33"/>
      <c r="M10" s="33"/>
      <c r="N10" s="33">
        <f>$C$30*'E Balans VL '!Y14/100/3.6*1000000</f>
        <v>685.56351390406587</v>
      </c>
      <c r="O10" s="33"/>
      <c r="P10" s="33"/>
      <c r="R10" s="32"/>
    </row>
    <row r="11" spans="1:18">
      <c r="A11" s="32" t="s">
        <v>54</v>
      </c>
      <c r="B11" s="37">
        <f t="shared" si="0"/>
        <v>1762.97936312254</v>
      </c>
      <c r="C11" s="33"/>
      <c r="D11" s="37">
        <f>IF(ISERROR(TER_onderwijs_gas_kWh/1000),0,TER_onderwijs_gas_kWh/1000)*0.902</f>
        <v>6949.1100486086716</v>
      </c>
      <c r="E11" s="33">
        <f>$C$31*'E Balans VL '!I11/100/3.6*1000000</f>
        <v>1.3434820740046118</v>
      </c>
      <c r="F11" s="33">
        <f>$C$31*('E Balans VL '!L11+'E Balans VL '!N11)/100/3.6*1000000</f>
        <v>1275.7884824445212</v>
      </c>
      <c r="G11" s="34"/>
      <c r="H11" s="33"/>
      <c r="I11" s="33"/>
      <c r="J11" s="33">
        <f>$C$31*('E Balans VL '!D11+'E Balans VL '!E11)/100/3.6*1000000</f>
        <v>0</v>
      </c>
      <c r="K11" s="33"/>
      <c r="L11" s="33"/>
      <c r="M11" s="33"/>
      <c r="N11" s="33">
        <f>$C$31*'E Balans VL '!Y11/100/3.6*1000000</f>
        <v>5.1959215275121888</v>
      </c>
      <c r="O11" s="33"/>
      <c r="P11" s="33"/>
      <c r="R11" s="32"/>
    </row>
    <row r="12" spans="1:18">
      <c r="A12" s="32" t="s">
        <v>255</v>
      </c>
      <c r="B12" s="37">
        <f t="shared" si="0"/>
        <v>23115.055801827501</v>
      </c>
      <c r="C12" s="33"/>
      <c r="D12" s="37">
        <f>IF(ISERROR(TER_rest_gas_kWh/1000),0,TER_rest_gas_kWh/1000)*0.902</f>
        <v>16149.084596774148</v>
      </c>
      <c r="E12" s="33">
        <f>$C$32*'E Balans VL '!I8/100/3.6*1000000</f>
        <v>495.74984259273992</v>
      </c>
      <c r="F12" s="33">
        <f>$C$32*('E Balans VL '!L8+'E Balans VL '!N8)/100/3.6*1000000</f>
        <v>4561.0109020815562</v>
      </c>
      <c r="G12" s="34"/>
      <c r="H12" s="33"/>
      <c r="I12" s="33"/>
      <c r="J12" s="33">
        <f>$C$32*('E Balans VL '!D8+'E Balans VL '!E8)/100/3.6*1000000</f>
        <v>0</v>
      </c>
      <c r="K12" s="33"/>
      <c r="L12" s="33"/>
      <c r="M12" s="33"/>
      <c r="N12" s="33">
        <f>$C$32*'E Balans VL '!Y8/100/3.6*1000000</f>
        <v>655.60595984471229</v>
      </c>
      <c r="O12" s="33"/>
      <c r="P12" s="33"/>
      <c r="R12" s="32"/>
    </row>
    <row r="13" spans="1:18">
      <c r="A13" s="16" t="s">
        <v>489</v>
      </c>
      <c r="B13" s="244">
        <f ca="1">'lokale energieproductie'!N38+'lokale energieproductie'!N31</f>
        <v>1350</v>
      </c>
      <c r="C13" s="244">
        <f ca="1">'lokale energieproductie'!O38+'lokale energieproductie'!O31</f>
        <v>1928.5714285714287</v>
      </c>
      <c r="D13" s="304">
        <f ca="1">('lokale energieproductie'!P31+'lokale energieproductie'!P38)*(-1)</f>
        <v>-3857.1428571428573</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96452.108877075196</v>
      </c>
      <c r="C16" s="21">
        <f ca="1">C5+C13+C14</f>
        <v>1928.5714285714287</v>
      </c>
      <c r="D16" s="21">
        <f t="shared" ref="D16:N16" ca="1" si="1">MAX((D5+D13+D14),0)</f>
        <v>112443.17778291737</v>
      </c>
      <c r="E16" s="21">
        <f t="shared" si="1"/>
        <v>2428.9520147677285</v>
      </c>
      <c r="F16" s="21">
        <f t="shared" ca="1" si="1"/>
        <v>17237.769857299263</v>
      </c>
      <c r="G16" s="21">
        <f t="shared" si="1"/>
        <v>0</v>
      </c>
      <c r="H16" s="21">
        <f t="shared" si="1"/>
        <v>0</v>
      </c>
      <c r="I16" s="21">
        <f t="shared" si="1"/>
        <v>0</v>
      </c>
      <c r="J16" s="21">
        <f t="shared" si="1"/>
        <v>0</v>
      </c>
      <c r="K16" s="21">
        <f t="shared" si="1"/>
        <v>0</v>
      </c>
      <c r="L16" s="21">
        <f t="shared" ca="1" si="1"/>
        <v>0</v>
      </c>
      <c r="M16" s="21">
        <f t="shared" si="1"/>
        <v>0</v>
      </c>
      <c r="N16" s="21">
        <f t="shared" ca="1" si="1"/>
        <v>1621.8690606777413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0.2183843786025626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21063.633862026778</v>
      </c>
      <c r="C20" s="23">
        <f t="shared" ref="C20:P20" ca="1" si="2">C16*C18</f>
        <v>458.31932773109253</v>
      </c>
      <c r="D20" s="23">
        <f t="shared" ca="1" si="2"/>
        <v>22713.52191214931</v>
      </c>
      <c r="E20" s="23">
        <f t="shared" si="2"/>
        <v>551.37210735227438</v>
      </c>
      <c r="F20" s="23">
        <f t="shared" ca="1" si="2"/>
        <v>4602.4845518989032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33115.543135962398</v>
      </c>
      <c r="C26" s="39">
        <f>IF(ISERROR(B26*3.6/1000000/'E Balans VL '!Z12*100),0,B26*3.6/1000000/'E Balans VL '!Z12*100)</f>
        <v>0.69686168730184772</v>
      </c>
      <c r="D26" s="234" t="s">
        <v>706</v>
      </c>
      <c r="F26" s="6"/>
    </row>
    <row r="27" spans="1:18">
      <c r="A27" s="229" t="s">
        <v>52</v>
      </c>
      <c r="B27" s="33">
        <f>IF(ISERROR(TER_horeca_ele_kWh/1000),0,TER_horeca_ele_kWh/1000)</f>
        <v>11397.311583810801</v>
      </c>
      <c r="C27" s="39">
        <f>IF(ISERROR(B27*3.6/1000000/'E Balans VL '!Z9*100),0,B27*3.6/1000000/'E Balans VL '!Z9*100)</f>
        <v>0.96497834565229224</v>
      </c>
      <c r="D27" s="234" t="s">
        <v>706</v>
      </c>
      <c r="F27" s="6"/>
    </row>
    <row r="28" spans="1:18">
      <c r="A28" s="169" t="s">
        <v>51</v>
      </c>
      <c r="B28" s="33">
        <f>IF(ISERROR(TER_handel_ele_kWh/1000),0,TER_handel_ele_kWh/1000)</f>
        <v>21648.387919577199</v>
      </c>
      <c r="C28" s="39">
        <f>IF(ISERROR(B28*3.6/1000000/'E Balans VL '!Z13*100),0,B28*3.6/1000000/'E Balans VL '!Z13*100)</f>
        <v>0.59933262603507209</v>
      </c>
      <c r="D28" s="234" t="s">
        <v>706</v>
      </c>
      <c r="F28" s="6"/>
    </row>
    <row r="29" spans="1:18">
      <c r="A29" s="229" t="s">
        <v>50</v>
      </c>
      <c r="B29" s="33">
        <f>IF(ISERROR(TER_gezond_ele_kWh/1000),0,TER_gezond_ele_kWh/1000)</f>
        <v>1088.3070439789401</v>
      </c>
      <c r="C29" s="39">
        <f>IF(ISERROR(B29*3.6/1000000/'E Balans VL '!Z10*100),0,B29*3.6/1000000/'E Balans VL '!Z10*100)</f>
        <v>0.14146785042699089</v>
      </c>
      <c r="D29" s="234" t="s">
        <v>706</v>
      </c>
      <c r="F29" s="6"/>
    </row>
    <row r="30" spans="1:18">
      <c r="A30" s="229" t="s">
        <v>49</v>
      </c>
      <c r="B30" s="33">
        <f>IF(ISERROR(TER_ander_ele_kWh/1000),0,TER_ander_ele_kWh/1000)</f>
        <v>2974.5240287958204</v>
      </c>
      <c r="C30" s="39">
        <f>IF(ISERROR(B30*3.6/1000000/'E Balans VL '!Z14*100),0,B30*3.6/1000000/'E Balans VL '!Z14*100)</f>
        <v>0.23055289070085019</v>
      </c>
      <c r="D30" s="234" t="s">
        <v>706</v>
      </c>
      <c r="F30" s="6"/>
    </row>
    <row r="31" spans="1:18">
      <c r="A31" s="229" t="s">
        <v>54</v>
      </c>
      <c r="B31" s="33">
        <f>IF(ISERROR(TER_onderwijs_ele_kWh/1000),0,TER_onderwijs_ele_kWh/1000)</f>
        <v>1762.97936312254</v>
      </c>
      <c r="C31" s="39">
        <f>IF(ISERROR(B31*3.6/1000000/'E Balans VL '!Z11*100),0,B31*3.6/1000000/'E Balans VL '!Z11*100)</f>
        <v>0.33728799269796744</v>
      </c>
      <c r="D31" s="234" t="s">
        <v>706</v>
      </c>
    </row>
    <row r="32" spans="1:18">
      <c r="A32" s="229" t="s">
        <v>255</v>
      </c>
      <c r="B32" s="33">
        <f>IF(ISERROR(TER_rest_ele_kWh/1000),0,TER_rest_ele_kWh/1000)</f>
        <v>23115.055801827501</v>
      </c>
      <c r="C32" s="39">
        <f>IF(ISERROR(B32*3.6/1000000/'E Balans VL '!Z8*100),0,B32*3.6/1000000/'E Balans VL '!Z8*100)</f>
        <v>0.19060138549716318</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4</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50383.945342081104</v>
      </c>
      <c r="C5" s="17">
        <f>IF(ISERROR('Eigen informatie GS &amp; warmtenet'!B59),0,'Eigen informatie GS &amp; warmtenet'!B59)</f>
        <v>0</v>
      </c>
      <c r="D5" s="30">
        <f>SUM(D6:D15)</f>
        <v>16609.795644905382</v>
      </c>
      <c r="E5" s="17">
        <f>SUM(E6:E15)</f>
        <v>482.62495874159106</v>
      </c>
      <c r="F5" s="17">
        <f>SUM(F6:F15)</f>
        <v>13117.127602127481</v>
      </c>
      <c r="G5" s="18"/>
      <c r="H5" s="17"/>
      <c r="I5" s="17"/>
      <c r="J5" s="17">
        <f>SUM(J6:J15)</f>
        <v>281.59796083799233</v>
      </c>
      <c r="K5" s="17"/>
      <c r="L5" s="17"/>
      <c r="M5" s="17"/>
      <c r="N5" s="17">
        <f>SUM(N6:N15)</f>
        <v>1214.4142959157352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2217.3761109318102</v>
      </c>
      <c r="C8" s="33"/>
      <c r="D8" s="37">
        <f>IF( ISERROR(IND_metaal_Gas_kWH/1000),0,IND_metaal_Gas_kWH/1000)*0.902</f>
        <v>562.63398352319098</v>
      </c>
      <c r="E8" s="33">
        <f>C30*'E Balans VL '!I18/100/3.6*1000000</f>
        <v>15.581012689671093</v>
      </c>
      <c r="F8" s="33">
        <f>C30*'E Balans VL '!L18/100/3.6*1000000+C30*'E Balans VL '!N18/100/3.6*1000000</f>
        <v>243.45492405315758</v>
      </c>
      <c r="G8" s="34"/>
      <c r="H8" s="33"/>
      <c r="I8" s="33"/>
      <c r="J8" s="40">
        <f>C30*'E Balans VL '!D18/100/3.6*1000000+C30*'E Balans VL '!E18/100/3.6*1000000</f>
        <v>45.749248482749081</v>
      </c>
      <c r="K8" s="33"/>
      <c r="L8" s="33"/>
      <c r="M8" s="33"/>
      <c r="N8" s="33">
        <f>C30*'E Balans VL '!Y18/100/3.6*1000000</f>
        <v>8.3108853590286422</v>
      </c>
      <c r="O8" s="33"/>
      <c r="P8" s="33"/>
      <c r="R8" s="32"/>
    </row>
    <row r="9" spans="1:18">
      <c r="A9" s="6" t="s">
        <v>32</v>
      </c>
      <c r="B9" s="37">
        <f t="shared" si="0"/>
        <v>7355.9234596119504</v>
      </c>
      <c r="C9" s="33"/>
      <c r="D9" s="37">
        <f>IF( ISERROR(IND_andere_gas_kWh/1000),0,IND_andere_gas_kWh/1000)*0.902</f>
        <v>4407.7645665047212</v>
      </c>
      <c r="E9" s="33">
        <f>C31*'E Balans VL '!I19/100/3.6*1000000</f>
        <v>123.55174579813533</v>
      </c>
      <c r="F9" s="33">
        <f>C31*'E Balans VL '!L19/100/3.6*1000000+C31*'E Balans VL '!N19/100/3.6*1000000</f>
        <v>5750.4419986072489</v>
      </c>
      <c r="G9" s="34"/>
      <c r="H9" s="33"/>
      <c r="I9" s="33"/>
      <c r="J9" s="40">
        <f>C31*'E Balans VL '!D19/100/3.6*1000000+C31*'E Balans VL '!E19/100/3.6*1000000</f>
        <v>0.66343936248922408</v>
      </c>
      <c r="K9" s="33"/>
      <c r="L9" s="33"/>
      <c r="M9" s="33"/>
      <c r="N9" s="33">
        <f>C31*'E Balans VL '!Y19/100/3.6*1000000</f>
        <v>545.1919437594014</v>
      </c>
      <c r="O9" s="33"/>
      <c r="P9" s="33"/>
      <c r="R9" s="32"/>
    </row>
    <row r="10" spans="1:18">
      <c r="A10" s="6" t="s">
        <v>40</v>
      </c>
      <c r="B10" s="37">
        <f t="shared" si="0"/>
        <v>2804.1989143640303</v>
      </c>
      <c r="C10" s="33"/>
      <c r="D10" s="37">
        <f>IF( ISERROR(IND_voed_gas_kWh/1000),0,IND_voed_gas_kWh/1000)*0.902</f>
        <v>370.04658376747534</v>
      </c>
      <c r="E10" s="33">
        <f>C32*'E Balans VL '!I20/100/3.6*1000000</f>
        <v>25.584345609854577</v>
      </c>
      <c r="F10" s="33">
        <f>C32*'E Balans VL '!L20/100/3.6*1000000+C32*'E Balans VL '!N20/100/3.6*1000000</f>
        <v>452.40499509597942</v>
      </c>
      <c r="G10" s="34"/>
      <c r="H10" s="33"/>
      <c r="I10" s="33"/>
      <c r="J10" s="40">
        <f>C32*'E Balans VL '!D20/100/3.6*1000000+C32*'E Balans VL '!E20/100/3.6*1000000</f>
        <v>11.549529651153129</v>
      </c>
      <c r="K10" s="33"/>
      <c r="L10" s="33"/>
      <c r="M10" s="33"/>
      <c r="N10" s="33">
        <f>C32*'E Balans VL '!Y20/100/3.6*1000000</f>
        <v>41.023218944242856</v>
      </c>
      <c r="O10" s="33"/>
      <c r="P10" s="33"/>
      <c r="R10" s="32"/>
    </row>
    <row r="11" spans="1:18">
      <c r="A11" s="6" t="s">
        <v>39</v>
      </c>
      <c r="B11" s="37">
        <f t="shared" si="0"/>
        <v>46.7421450417716</v>
      </c>
      <c r="C11" s="33"/>
      <c r="D11" s="37">
        <f>IF( ISERROR(IND_textiel_gas_kWh/1000),0,IND_textiel_gas_kWh/1000)*0.902</f>
        <v>82.594434473190731</v>
      </c>
      <c r="E11" s="33">
        <f>C33*'E Balans VL '!I21/100/3.6*1000000</f>
        <v>0.10661016254307638</v>
      </c>
      <c r="F11" s="33">
        <f>C33*'E Balans VL '!L21/100/3.6*1000000+C33*'E Balans VL '!N21/100/3.6*1000000</f>
        <v>0.99915670341208229</v>
      </c>
      <c r="G11" s="34"/>
      <c r="H11" s="33"/>
      <c r="I11" s="33"/>
      <c r="J11" s="40">
        <f>C33*'E Balans VL '!D21/100/3.6*1000000+C33*'E Balans VL '!E21/100/3.6*1000000</f>
        <v>0</v>
      </c>
      <c r="K11" s="33"/>
      <c r="L11" s="33"/>
      <c r="M11" s="33"/>
      <c r="N11" s="33">
        <f>C33*'E Balans VL '!Y21/100/3.6*1000000</f>
        <v>0.331582470964769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71.8278466254297</v>
      </c>
      <c r="C13" s="33"/>
      <c r="D13" s="37">
        <f>IF( ISERROR(IND_papier_gas_kWh/1000),0,IND_papier_gas_kWh/1000)*0.902</f>
        <v>60.087977838222656</v>
      </c>
      <c r="E13" s="33">
        <f>C35*'E Balans VL '!I23/100/3.6*1000000</f>
        <v>2.2099553866799009</v>
      </c>
      <c r="F13" s="33">
        <f>C35*'E Balans VL '!L23/100/3.6*1000000+C35*'E Balans VL '!N23/100/3.6*1000000</f>
        <v>15.251562073507611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4674.7408318458101</v>
      </c>
      <c r="C14" s="33"/>
      <c r="D14" s="37">
        <f>IF( ISERROR(IND_chemie_gas_kWh/1000),0,IND_chemie_gas_kWh/1000)*0.902</f>
        <v>5493.3973659503536</v>
      </c>
      <c r="E14" s="33">
        <f>C36*'E Balans VL '!I24/100/3.6*1000000</f>
        <v>15.850591225749309</v>
      </c>
      <c r="F14" s="33">
        <f>C36*'E Balans VL '!L24/100/3.6*1000000+C36*'E Balans VL '!N24/100/3.6*1000000</f>
        <v>15.002375954067066</v>
      </c>
      <c r="G14" s="34"/>
      <c r="H14" s="33"/>
      <c r="I14" s="33"/>
      <c r="J14" s="40">
        <f>C36*'E Balans VL '!D24/100/3.6*1000000+C36*'E Balans VL '!E24/100/3.6*1000000</f>
        <v>0</v>
      </c>
      <c r="K14" s="33"/>
      <c r="L14" s="33"/>
      <c r="M14" s="33"/>
      <c r="N14" s="33">
        <f>C36*'E Balans VL '!Y24/100/3.6*1000000</f>
        <v>21.857821252404406</v>
      </c>
      <c r="O14" s="33"/>
      <c r="P14" s="33"/>
      <c r="R14" s="32"/>
    </row>
    <row r="15" spans="1:18">
      <c r="A15" s="6" t="s">
        <v>265</v>
      </c>
      <c r="B15" s="37">
        <f t="shared" si="0"/>
        <v>33213.136033660303</v>
      </c>
      <c r="C15" s="33"/>
      <c r="D15" s="37">
        <f>IF( ISERROR(IND_rest_gas_kWh/1000),0,IND_rest_gas_kWh/1000)*0.902</f>
        <v>5633.2707328482284</v>
      </c>
      <c r="E15" s="33">
        <f>C37*'E Balans VL '!I15/100/3.6*1000000</f>
        <v>299.7406978689578</v>
      </c>
      <c r="F15" s="33">
        <f>C37*'E Balans VL '!L15/100/3.6*1000000+C37*'E Balans VL '!N15/100/3.6*1000000</f>
        <v>6639.5725896401073</v>
      </c>
      <c r="G15" s="34"/>
      <c r="H15" s="33"/>
      <c r="I15" s="33"/>
      <c r="J15" s="40">
        <f>C37*'E Balans VL '!D15/100/3.6*1000000+C37*'E Balans VL '!E15/100/3.6*1000000</f>
        <v>223.63574334160091</v>
      </c>
      <c r="K15" s="33"/>
      <c r="L15" s="33"/>
      <c r="M15" s="33"/>
      <c r="N15" s="33">
        <f>C37*'E Balans VL '!Y15/100/3.6*1000000</f>
        <v>597.69884412969304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50383.945342081104</v>
      </c>
      <c r="C18" s="21">
        <f>C5+C16</f>
        <v>0</v>
      </c>
      <c r="D18" s="21">
        <f>MAX((D5+D16),0)</f>
        <v>16609.795644905382</v>
      </c>
      <c r="E18" s="21">
        <f>MAX((E5+E16),0)</f>
        <v>482.62495874159106</v>
      </c>
      <c r="F18" s="21">
        <f>MAX((F5+F16),0)</f>
        <v>13117.127602127481</v>
      </c>
      <c r="G18" s="21"/>
      <c r="H18" s="21"/>
      <c r="I18" s="21"/>
      <c r="J18" s="21">
        <f>MAX((J5+J16),0)</f>
        <v>281.59796083799233</v>
      </c>
      <c r="K18" s="21"/>
      <c r="L18" s="21">
        <f>MAX((L5+L16),0)</f>
        <v>0</v>
      </c>
      <c r="M18" s="21"/>
      <c r="N18" s="21">
        <f>MAX((N5+N16),0)</f>
        <v>1214.4142959157352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0.2183843786025626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11003.066595075861</v>
      </c>
      <c r="C22" s="23">
        <f ca="1">C18*C20</f>
        <v>0</v>
      </c>
      <c r="D22" s="23">
        <f>D18*D20</f>
        <v>3355.1787202708874</v>
      </c>
      <c r="E22" s="23">
        <f>E18*E20</f>
        <v>109.55586563434117</v>
      </c>
      <c r="F22" s="23">
        <f>F18*F20</f>
        <v>3502.2730697680377</v>
      </c>
      <c r="G22" s="23"/>
      <c r="H22" s="23"/>
      <c r="I22" s="23"/>
      <c r="J22" s="23">
        <f>J18*J20</f>
        <v>99.685678136649287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2217.3761109318102</v>
      </c>
      <c r="C30" s="39">
        <f>IF(ISERROR(B30*3.6/1000000/'E Balans VL '!Z18*100),0,B30*3.6/1000000/'E Balans VL '!Z18*100)</f>
        <v>0.14761208174805038</v>
      </c>
      <c r="D30" s="234" t="s">
        <v>706</v>
      </c>
    </row>
    <row r="31" spans="1:18">
      <c r="A31" s="6" t="s">
        <v>32</v>
      </c>
      <c r="B31" s="37">
        <f>IF( ISERROR(IND_ander_ele_kWh/1000),0,IND_ander_ele_kWh/1000)</f>
        <v>7355.9234596119504</v>
      </c>
      <c r="C31" s="39">
        <f>IF(ISERROR(B31*3.6/1000000/'E Balans VL '!Z19*100),0,B31*3.6/1000000/'E Balans VL '!Z19*100)</f>
        <v>0.32605893583088147</v>
      </c>
      <c r="D31" s="234" t="s">
        <v>706</v>
      </c>
    </row>
    <row r="32" spans="1:18">
      <c r="A32" s="169" t="s">
        <v>40</v>
      </c>
      <c r="B32" s="37">
        <f>IF( ISERROR(IND_voed_ele_kWh/1000),0,IND_voed_ele_kWh/1000)</f>
        <v>2804.1989143640303</v>
      </c>
      <c r="C32" s="39">
        <f>IF(ISERROR(B32*3.6/1000000/'E Balans VL '!Z20*100),0,B32*3.6/1000000/'E Balans VL '!Z20*100)</f>
        <v>9.3668287945320269E-2</v>
      </c>
      <c r="D32" s="234" t="s">
        <v>706</v>
      </c>
    </row>
    <row r="33" spans="1:5">
      <c r="A33" s="169" t="s">
        <v>39</v>
      </c>
      <c r="B33" s="37">
        <f>IF( ISERROR(IND_textiel_ele_kWh/1000),0,IND_textiel_ele_kWh/1000)</f>
        <v>46.7421450417716</v>
      </c>
      <c r="C33" s="39">
        <f>IF(ISERROR(B33*3.6/1000000/'E Balans VL '!Z21*100),0,B33*3.6/1000000/'E Balans VL '!Z21*100)</f>
        <v>6.1537111840043743E-3</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71.8278466254297</v>
      </c>
      <c r="C35" s="39">
        <f>IF(ISERROR(B35*3.6/1000000/'E Balans VL '!Z22*100),0,B35*3.6/1000000/'E Balans VL '!Z22*100)</f>
        <v>1.3969727184599462E-2</v>
      </c>
      <c r="D35" s="234" t="s">
        <v>706</v>
      </c>
    </row>
    <row r="36" spans="1:5">
      <c r="A36" s="169" t="s">
        <v>33</v>
      </c>
      <c r="B36" s="37">
        <f>IF( ISERROR(IND_chemie_ele_kWh/1000),0,IND_chemie_ele_kWh/1000)</f>
        <v>4674.7408318458101</v>
      </c>
      <c r="C36" s="39">
        <f>IF(ISERROR(B36*3.6/1000000/'E Balans VL '!Z24*100),0,B36*3.6/1000000/'E Balans VL '!Z24*100)</f>
        <v>0.10977550567118914</v>
      </c>
      <c r="D36" s="234" t="s">
        <v>706</v>
      </c>
    </row>
    <row r="37" spans="1:5">
      <c r="A37" s="169" t="s">
        <v>265</v>
      </c>
      <c r="B37" s="37">
        <f>IF( ISERROR(IND_rest_ele_kWh/1000),0,IND_rest_ele_kWh/1000)</f>
        <v>33213.136033660303</v>
      </c>
      <c r="C37" s="39">
        <f>IF(ISERROR(B37*3.6/1000000/'E Balans VL '!Z15*100),0,B37*3.6/1000000/'E Balans VL '!Z15*100)</f>
        <v>0.24705162326340563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136.18837726151978</v>
      </c>
      <c r="C5" s="17">
        <f>'Eigen informatie GS &amp; warmtenet'!B60</f>
        <v>0</v>
      </c>
      <c r="D5" s="30">
        <f>IF(ISERROR(SUM(LB_lb_gas_kWh,LB_rest_gas_kWh)/1000),0,SUM(LB_lb_gas_kWh,LB_rest_gas_kWh)/1000)*0.902</f>
        <v>136.5207285613713</v>
      </c>
      <c r="E5" s="17">
        <f>B17*'E Balans VL '!I25/3.6*1000000/100</f>
        <v>1.4261941702639787</v>
      </c>
      <c r="F5" s="17">
        <f>B17*('E Balans VL '!L25/3.6*1000000+'E Balans VL '!N25/3.6*1000000)/100</f>
        <v>582.98973586876036</v>
      </c>
      <c r="G5" s="18"/>
      <c r="H5" s="17"/>
      <c r="I5" s="17"/>
      <c r="J5" s="17">
        <f>('E Balans VL '!D25+'E Balans VL '!E25)/3.6*1000000*landbouw!B17/100</f>
        <v>12.16284276670345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136.18837726151978</v>
      </c>
      <c r="C8" s="21">
        <f>C5+C6</f>
        <v>0</v>
      </c>
      <c r="D8" s="21">
        <f>MAX((D5+D6),0)</f>
        <v>136.5207285613713</v>
      </c>
      <c r="E8" s="21">
        <f>MAX((E5+E6),0)</f>
        <v>1.4261941702639787</v>
      </c>
      <c r="F8" s="21">
        <f>MAX((F5+F6),0)</f>
        <v>582.98973586876036</v>
      </c>
      <c r="G8" s="21"/>
      <c r="H8" s="21"/>
      <c r="I8" s="21"/>
      <c r="J8" s="21">
        <f>MAX((J5+J6),0)</f>
        <v>12.16284276670345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0.2183843786025626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29.741414141148361</v>
      </c>
      <c r="C12" s="23">
        <f ca="1">C8*C10</f>
        <v>0</v>
      </c>
      <c r="D12" s="23">
        <f>D8*D10</f>
        <v>27.577187169397003</v>
      </c>
      <c r="E12" s="23">
        <f>E8*E10</f>
        <v>0.32374607664992316</v>
      </c>
      <c r="F12" s="23">
        <f>F8*F10</f>
        <v>155.65825947695902</v>
      </c>
      <c r="G12" s="23"/>
      <c r="H12" s="23"/>
      <c r="I12" s="23"/>
      <c r="J12" s="23">
        <f>J8*J10</f>
        <v>4.3056463394130216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2.0962020182049627E-2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5.1115551792383283</v>
      </c>
      <c r="C26" s="244">
        <f>B26*'GWP N2O_CH4'!B5</f>
        <v>107.3426587640049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3.6571505664057842</v>
      </c>
      <c r="C27" s="244">
        <f>B27*'GWP N2O_CH4'!B5</f>
        <v>76.800161894521466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7.9101313166887191E-2</v>
      </c>
      <c r="C28" s="244">
        <f>B28*'GWP N2O_CH4'!B4</f>
        <v>24.521407081735028</v>
      </c>
      <c r="D28" s="50"/>
    </row>
    <row r="29" spans="1:4">
      <c r="A29" s="41" t="s">
        <v>272</v>
      </c>
      <c r="B29" s="244">
        <f>B34*'ha_N2O bodem landbouw'!B4</f>
        <v>3.9946956904191224</v>
      </c>
      <c r="C29" s="244">
        <f>B29*'GWP N2O_CH4'!B4</f>
        <v>1238.355664029928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6.6017592796350599E-4</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1.4048165069687916E-5</v>
      </c>
      <c r="C5" s="435" t="s">
        <v>210</v>
      </c>
      <c r="D5" s="420">
        <f>SUM(D6:D11)</f>
        <v>4.3490133255405034E-5</v>
      </c>
      <c r="E5" s="420">
        <f>SUM(E6:E11)</f>
        <v>5.2462301319377465E-3</v>
      </c>
      <c r="F5" s="433" t="s">
        <v>210</v>
      </c>
      <c r="G5" s="420">
        <f>SUM(G6:G11)</f>
        <v>0.97762918349221106</v>
      </c>
      <c r="H5" s="420">
        <f>SUM(H6:H11)</f>
        <v>0.15069008878206411</v>
      </c>
      <c r="I5" s="435" t="s">
        <v>210</v>
      </c>
      <c r="J5" s="435" t="s">
        <v>210</v>
      </c>
      <c r="K5" s="435" t="s">
        <v>210</v>
      </c>
      <c r="L5" s="435" t="s">
        <v>210</v>
      </c>
      <c r="M5" s="420">
        <f>SUM(M6:M11)</f>
        <v>4.90509806068695E-2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2.6038710969564585E-6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8.2444312792012735E-6</v>
      </c>
      <c r="E6" s="423">
        <f>vkm_GW_PW*SUMIFS(TableVerdeelsleutelVkm[LPG],TableVerdeelsleutelVkm[Voertuigtype],"Lichte voertuigen")*SUMIFS(TableECFTransport[EnergieConsumptieFactor (PJ per km)],TableECFTransport[Index],CONCATENATE($A6,"_LPG_LPG"))</f>
        <v>8.591414298080854E-4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0.11443785262791797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2.7453393744652239E-2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6.1934329932809519E-3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6.4676781511951601E-8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2.9154816097884419E-2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7.8936610126018022E-7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1.2560016011722718E-3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7.8422554198689593E-7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4.2198804283882102E-6</v>
      </c>
      <c r="E8" s="423">
        <f>vkm_NGW_PW*SUMIFS(TableVerdeelsleutelVkm[LPG],TableVerdeelsleutelVkm[Voertuigtype],"Lichte voertuigen")*SUMIFS(TableECFTransport[EnergieConsumptieFactor (PJ per km)],TableECFTransport[Index],CONCATENATE($A8,"_LPG_LPG"))</f>
        <v>4.1499837051157815E-4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5.2337907047988207E-2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1.3287240492459954E-2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2.866220213477334E-3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1.4791279991383857E-9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9.2356332921560797E-4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2.1789751442010904E-8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3.9787344271859973E-5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9.9411778318380158E-6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3.1025821547815551E-5</v>
      </c>
      <c r="E10" s="423">
        <f>vkm_SW_PW*SUMIFS(TableVerdeelsleutelVkm[LPG],TableVerdeelsleutelVkm[Voertuigtype],"Lichte voertuigen")*SUMIFS(TableECFTransport[EnergieConsumptieFactor (PJ per km)],TableECFTransport[Index],CONCATENATE($A10,"_LPG_LPG"))</f>
        <v>3.972090331618083E-3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0.496860009620823</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0.10994044370341578</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2.6464337097557449E-2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6.527346893954555E-7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0.28391503476838187</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8.1996856834324089E-6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1.2231201357109629E-2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3.9022680749133096</v>
      </c>
      <c r="C14" s="21"/>
      <c r="D14" s="21">
        <f t="shared" ref="D14:M14" si="0">((D5)*10^9/3600)+D12</f>
        <v>12.080592570945843</v>
      </c>
      <c r="E14" s="21">
        <f t="shared" si="0"/>
        <v>1457.2861477604852</v>
      </c>
      <c r="F14" s="21"/>
      <c r="G14" s="21">
        <f t="shared" si="0"/>
        <v>271563.66208116978</v>
      </c>
      <c r="H14" s="21">
        <f t="shared" si="0"/>
        <v>41858.35799501781</v>
      </c>
      <c r="I14" s="21"/>
      <c r="J14" s="21"/>
      <c r="K14" s="21"/>
      <c r="L14" s="21"/>
      <c r="M14" s="21">
        <f t="shared" si="0"/>
        <v>13625.272390797083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0.2183843786025626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0.8521943886805613</v>
      </c>
      <c r="C18" s="23"/>
      <c r="D18" s="23">
        <f t="shared" ref="D18:M18" si="1">D14*D16</f>
        <v>2.4402796993310605</v>
      </c>
      <c r="E18" s="23">
        <f t="shared" si="1"/>
        <v>330.80395554163016</v>
      </c>
      <c r="F18" s="23"/>
      <c r="G18" s="23">
        <f t="shared" si="1"/>
        <v>72507.497775672338</v>
      </c>
      <c r="H18" s="23">
        <f t="shared" si="1"/>
        <v>10422.731140759435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8.3637198257432158E-5</v>
      </c>
      <c r="C50" s="315">
        <f t="shared" ref="C50:P50" si="2">SUM(C51:C52)</f>
        <v>0</v>
      </c>
      <c r="D50" s="315">
        <f t="shared" si="2"/>
        <v>0</v>
      </c>
      <c r="E50" s="315">
        <f t="shared" si="2"/>
        <v>0</v>
      </c>
      <c r="F50" s="315">
        <f t="shared" si="2"/>
        <v>0</v>
      </c>
      <c r="G50" s="315">
        <f t="shared" si="2"/>
        <v>1.8144250456326255E-2</v>
      </c>
      <c r="H50" s="315">
        <f t="shared" si="2"/>
        <v>0</v>
      </c>
      <c r="I50" s="315">
        <f t="shared" si="2"/>
        <v>0</v>
      </c>
      <c r="J50" s="315">
        <f t="shared" si="2"/>
        <v>0</v>
      </c>
      <c r="K50" s="315">
        <f t="shared" si="2"/>
        <v>0</v>
      </c>
      <c r="L50" s="315">
        <f t="shared" si="2"/>
        <v>0</v>
      </c>
      <c r="M50" s="315">
        <f t="shared" si="2"/>
        <v>7.7686710795546595E-4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8.3637198257432158E-5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1.8144250456326255E-2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7.7686710795546595E-4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23.232555071508934</v>
      </c>
      <c r="C54" s="21">
        <f t="shared" ref="C54:P54" si="3">(C50)*10^9/3600</f>
        <v>0</v>
      </c>
      <c r="D54" s="21">
        <f t="shared" si="3"/>
        <v>0</v>
      </c>
      <c r="E54" s="21">
        <f t="shared" si="3"/>
        <v>0</v>
      </c>
      <c r="F54" s="21">
        <f t="shared" si="3"/>
        <v>0</v>
      </c>
      <c r="G54" s="21">
        <f t="shared" si="3"/>
        <v>5040.0695712017368</v>
      </c>
      <c r="H54" s="21">
        <f t="shared" si="3"/>
        <v>0</v>
      </c>
      <c r="I54" s="21">
        <f t="shared" si="3"/>
        <v>0</v>
      </c>
      <c r="J54" s="21">
        <f t="shared" si="3"/>
        <v>0</v>
      </c>
      <c r="K54" s="21">
        <f t="shared" si="3"/>
        <v>0</v>
      </c>
      <c r="L54" s="21">
        <f t="shared" si="3"/>
        <v>0</v>
      </c>
      <c r="M54" s="21">
        <f t="shared" si="3"/>
        <v>215.79641887651832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0.2183843786025626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5.0736271026412929</v>
      </c>
      <c r="C58" s="23">
        <f t="shared" ref="C58:P58" ca="1" si="4">C54*C56</f>
        <v>0</v>
      </c>
      <c r="D58" s="23">
        <f t="shared" si="4"/>
        <v>0</v>
      </c>
      <c r="E58" s="23">
        <f t="shared" si="4"/>
        <v>0</v>
      </c>
      <c r="F58" s="23">
        <f t="shared" si="4"/>
        <v>0</v>
      </c>
      <c r="G58" s="23">
        <f t="shared" si="4"/>
        <v>1345.6985755108637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2584.1532520572223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1350</v>
      </c>
      <c r="C8" s="546">
        <f>B48</f>
        <v>1588.2352941176473</v>
      </c>
      <c r="D8" s="965"/>
      <c r="E8" s="965">
        <f>E48</f>
        <v>0</v>
      </c>
      <c r="F8" s="966"/>
      <c r="G8" s="547"/>
      <c r="H8" s="965">
        <f>I48</f>
        <v>0</v>
      </c>
      <c r="I8" s="965">
        <f>G48+F48</f>
        <v>0</v>
      </c>
      <c r="J8" s="965">
        <f>H48+D48+C48</f>
        <v>0</v>
      </c>
      <c r="K8" s="965"/>
      <c r="L8" s="965"/>
      <c r="M8" s="965"/>
      <c r="N8" s="548"/>
      <c r="O8" s="549">
        <f>C8*$C$12+D8*$D$12+E8*$E$12+F8*$F$12+G8*$G$12+H8*$H$12+I8*$I$12+J8*$J$12</f>
        <v>320.82352941176475</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3934.1532520572223</v>
      </c>
      <c r="C10" s="558">
        <f t="shared" ref="C10:L10" si="0">SUM(C8:C9)</f>
        <v>1588.2352941176473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320.82352941176475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1928.5714285714287</v>
      </c>
      <c r="C17" s="570">
        <f>B49</f>
        <v>2268.9075630252105</v>
      </c>
      <c r="D17" s="571"/>
      <c r="E17" s="571">
        <f>E49</f>
        <v>0</v>
      </c>
      <c r="F17" s="572"/>
      <c r="G17" s="573"/>
      <c r="H17" s="570">
        <f>I49</f>
        <v>0</v>
      </c>
      <c r="I17" s="571">
        <f>G49+F49</f>
        <v>0</v>
      </c>
      <c r="J17" s="571">
        <f>H49+D49+C49</f>
        <v>0</v>
      </c>
      <c r="K17" s="571"/>
      <c r="L17" s="571"/>
      <c r="M17" s="571"/>
      <c r="N17" s="961"/>
      <c r="O17" s="574">
        <f>C17*$C$22+E17*$E$22+H17*$H$22+I17*$I$22+J17*$J$22+D17*$D$22+F17*$F$22+G17*$G$22+K17*$K$22+L17*$L$22</f>
        <v>458.31932773109253</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1928.5714285714287</v>
      </c>
      <c r="C20" s="557">
        <f>SUM(C17:C19)</f>
        <v>2268.9075630252105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458.31932773109253</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23088</v>
      </c>
      <c r="C28" s="777">
        <v>1800</v>
      </c>
      <c r="D28" s="630" t="s">
        <v>983</v>
      </c>
      <c r="E28" s="629" t="s">
        <v>984</v>
      </c>
      <c r="F28" s="629" t="s">
        <v>985</v>
      </c>
      <c r="G28" s="629" t="s">
        <v>986</v>
      </c>
      <c r="H28" s="629" t="s">
        <v>987</v>
      </c>
      <c r="I28" s="629" t="s">
        <v>988</v>
      </c>
      <c r="J28" s="776">
        <v>38307</v>
      </c>
      <c r="K28" s="776">
        <v>38473</v>
      </c>
      <c r="L28" s="629" t="s">
        <v>989</v>
      </c>
      <c r="M28" s="629">
        <v>300</v>
      </c>
      <c r="N28" s="629">
        <v>1350</v>
      </c>
      <c r="O28" s="629">
        <v>1928.5714285714287</v>
      </c>
      <c r="P28" s="629">
        <v>3857.1428571428573</v>
      </c>
      <c r="Q28" s="629">
        <v>0</v>
      </c>
      <c r="R28" s="629">
        <v>0</v>
      </c>
      <c r="S28" s="629">
        <v>0</v>
      </c>
      <c r="T28" s="629">
        <v>0</v>
      </c>
      <c r="U28" s="629">
        <v>0</v>
      </c>
      <c r="V28" s="629">
        <v>0</v>
      </c>
      <c r="W28" s="629">
        <v>0</v>
      </c>
      <c r="X28" s="629">
        <v>1300</v>
      </c>
      <c r="Y28" s="629" t="s">
        <v>53</v>
      </c>
      <c r="Z28" s="631" t="s">
        <v>155</v>
      </c>
    </row>
    <row r="29" spans="1:26" s="565" customFormat="1">
      <c r="A29" s="585" t="s">
        <v>275</v>
      </c>
      <c r="B29" s="586"/>
      <c r="C29" s="586"/>
      <c r="D29" s="586"/>
      <c r="E29" s="586"/>
      <c r="F29" s="586"/>
      <c r="G29" s="586"/>
      <c r="H29" s="586"/>
      <c r="I29" s="586"/>
      <c r="J29" s="586"/>
      <c r="K29" s="586"/>
      <c r="L29" s="587"/>
      <c r="M29" s="587">
        <f>SUM(M28:M28)</f>
        <v>300</v>
      </c>
      <c r="N29" s="587">
        <f>SUM(N28:N28)</f>
        <v>1350</v>
      </c>
      <c r="O29" s="587">
        <f>SUM(O28:O28)</f>
        <v>1928.5714285714287</v>
      </c>
      <c r="P29" s="587">
        <f>SUM(P28:P28)</f>
        <v>3857.1428571428573</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300</v>
      </c>
      <c r="N31" s="587">
        <f ca="1">SUMIF($Z$28:AD28,"tertiair",N28:N28)</f>
        <v>1350</v>
      </c>
      <c r="O31" s="587">
        <f ca="1">SUMIF($Z$28:AE28,"tertiair",O28:O28)</f>
        <v>1928.5714285714287</v>
      </c>
      <c r="P31" s="587">
        <f ca="1">SUMIF($Z$28:AF28,"tertiair",P28:P28)</f>
        <v>3857.1428571428573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1588.2352941176473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2268.9075630252105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2021-06-29T16:55:31Z</dcterms:modified>
</cp:coreProperties>
</file>