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<sst xmlns="http://schemas.openxmlformats.org/spreadsheetml/2006/main" count="2581" uniqueCount="983">
  <si>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</si>
  <si>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</si>
  <si>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</si>
  <si>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</si>
  <si>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</si>
  <si>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</si>
  <si>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</si>
  <si>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</si>
  <si>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</si>
  <si>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</si>
  <si>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</si>
  <si>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</si>
  <si>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</si>
  <si>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</si>
  <si>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</si>
  <si>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</si>
  <si>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</si>
  <si>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</si>
  <si>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</si>
  <si>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</si>
  <si>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</si>
  <si>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</si>
  <si>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</si>
  <si>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</si>
  <si>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</si>
  <si>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</si>
  <si>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</si>
  <si>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</si>
  <si>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</si>
  <si>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</si>
  <si>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</si>
  <si>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</si>
  <si>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</si>
  <si>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</si>
  <si>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</si>
  <si>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</si>
  <si>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</si>
  <si>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</si>
  <si>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</si>
  <si>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</si>
  <si>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</si>
  <si>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</si>
  <si>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</si>
  <si>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</si>
  <si>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</si>
  <si>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</si>
  <si>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</si>
  <si>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</si>
  <si>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</si>
  <si>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</si>
  <si>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</si>
  <si>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</si>
  <si>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</si>
  <si>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</si>
  <si>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</si>
  <si>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</si>
  <si>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</si>
  <si>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</si>
  <si>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</si>
  <si>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</si>
  <si>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</si>
  <si>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</si>
  <si>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</si>
  <si>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</si>
  <si>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</si>
  <si>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</si>
  <si>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</si>
  <si>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</si>
  <si>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</si>
  <si>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</si>
  <si>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</si>
  <si>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</si>
  <si>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</si>
  <si>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</si>
  <si>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</si>
  <si>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</si>
  <si>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</si>
  <si>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</si>
  <si>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</si>
  <si>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</si>
  <si>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</si>
  <si>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</si>
  <si>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</si>
  <si>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</si>
  <si>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</si>
  <si>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</si>
  <si>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</si>
  <si>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</si>
  <si>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</si>
  <si>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</si>
  <si>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</si>
  <si>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</si>
  <si>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</si>
  <si>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</si>
  <si>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</si>
  <si>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</si>
  <si>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</si>
  <si>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</si>
  <si>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</si>
  <si>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</si>
  <si>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</si>
  <si>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</si>
  <si>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</si>
  <si>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</si>
  <si>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</si>
  <si>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</si>
  <si>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</si>
  <si>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</si>
  <si>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</si>
  <si>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</si>
  <si>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</si>
  <si>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</si>
  <si>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</si>
  <si>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</si>
  <si>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</si>
  <si>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</si>
  <si>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</si>
  <si>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</si>
  <si>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</si>
  <si>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</si>
  <si>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</si>
  <si>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</si>
  <si>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</si>
  <si>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</si>
  <si>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</si>
  <si>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</si>
  <si>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</si>
  <si>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</si>
  <si>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</si>
  <si>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</si>
  <si>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</si>
  <si>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</si>
  <si>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</si>
  <si>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</si>
  <si>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</si>
  <si>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</si>
  <si>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</si>
  <si>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</si>
  <si>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</si>
  <si>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</si>
  <si>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</si>
  <si>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</si>
  <si>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</si>
  <si>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</si>
  <si>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</si>
  <si>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</si>
  <si>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</si>
  <si>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</si>
  <si>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</si>
  <si>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</si>
  <si>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</si>
  <si>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</si>
  <si>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</si>
  <si>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</si>
  <si>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</si>
  <si>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</si>
  <si>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</si>
  <si>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</si>
  <si>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</si>
  <si>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</si>
  <si>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</si>
  <si>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</si>
  <si>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</si>
  <si>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</si>
  <si>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</si>
  <si>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</si>
  <si>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</si>
  <si>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</si>
  <si>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</si>
  <si>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</si>
  <si>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</si>
  <si>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</si>
  <si>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</si>
  <si>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</si>
  <si>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</si>
  <si>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</si>
  <si>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</si>
  <si>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</si>
  <si>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</si>
  <si>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</si>
  <si>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</si>
  <si>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</si>
  <si>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</si>
  <si>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</si>
  <si>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</si>
  <si>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</si>
  <si>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</si>
  <si>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</si>
  <si>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</si>
  <si>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</si>
  <si>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</si>
  <si>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</si>
  <si>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</si>
  <si>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</si>
  <si>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</si>
  <si>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</si>
  <si>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</si>
  <si>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</si>
  <si>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</si>
  <si>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</si>
  <si>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</si>
  <si>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</si>
  <si>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</si>
  <si>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</si>
  <si>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</si>
  <si>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</si>
  <si>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</si>
  <si>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</si>
  <si>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</si>
  <si>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</si>
  <si>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</si>
  <si>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</si>
  <si>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</si>
  <si>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</si>
  <si>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</si>
  <si>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</si>
  <si>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</si>
  <si>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</si>
  <si>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</si>
  <si>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</si>
  <si>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</si>
  <si>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</si>
  <si>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</si>
  <si>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</si>
  <si>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</si>
  <si>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</si>
  <si>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</si>
  <si>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</si>
  <si>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</si>
  <si>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</si>
  <si>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</si>
  <si>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</si>
  <si>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</si>
  <si>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</si>
  <si>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</si>
  <si>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</si>
  <si>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</si>
  <si>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</si>
  <si>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</si>
  <si>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</si>
  <si>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</si>
  <si>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</si>
  <si>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</si>
  <si>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</si>
  <si>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</si>
  <si>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</si>
  <si>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</si>
  <si>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</si>
  <si>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</si>
  <si>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</si>
  <si>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</si>
  <si>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</si>
  <si>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</si>
  <si>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</si>
  <si>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</si>
  <si>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</si>
  <si>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</si>
  <si>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</si>
  <si>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</si>
  <si>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</si>
  <si>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</si>
  <si>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</si>
  <si>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</si>
  <si>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</si>
  <si>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</si>
  <si>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</si>
  <si>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</si>
  <si>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</si>
  <si>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</si>
  <si>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</si>
  <si>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</si>
  <si>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</si>
  <si>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</si>
  <si>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</si>
  <si>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</si>
  <si>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</si>
  <si>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</si>
  <si>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</si>
  <si>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</si>
  <si>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</si>
  <si>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</si>
  <si>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</si>
  <si>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</si>
  <si>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</si>
  <si>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</si>
  <si>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</si>
  <si>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</si>
  <si>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</si>
  <si>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</si>
  <si>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</si>
  <si>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</si>
  <si>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</si>
  <si>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</si>
  <si>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</si>
  <si>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</si>
  <si>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</si>
  <si>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</si>
  <si>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</si>
  <si>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</si>
  <si>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</si>
  <si>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</si>
  <si>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</si>
  <si>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</si>
  <si>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</si>
  <si>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</si>
  <si>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</si>
  <si>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</si>
  <si>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</si>
  <si>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</si>
  <si>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</si>
  <si>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</si>
  <si>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</si>
  <si>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</si>
  <si>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</si>
  <si>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</si>
  <si>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</si>
  <si>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</si>
  <si>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</si>
  <si>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</si>
  <si>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</si>
  <si>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</si>
  <si>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</si>
  <si>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</si>
  <si>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</si>
  <si>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</si>
  <si>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</si>
  <si>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</si>
  <si>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</si>
  <si>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</si>
  <si>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</si>
  <si>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</si>
  <si>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</si>
  <si>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</si>
  <si>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</si>
  <si>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</si>
  <si>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</si>
  <si>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</si>
  <si>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</si>
  <si>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</si>
  <si>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</si>
  <si>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</si>
  <si>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</si>
  <si>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</si>
  <si>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</si>
  <si>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</si>
  <si>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</si>
  <si>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</si>
  <si>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</si>
  <si>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</si>
  <si>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</si>
  <si>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</si>
  <si>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</si>
  <si>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</si>
  <si>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</si>
  <si>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</si>
  <si>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</si>
  <si>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</si>
  <si>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</si>
  <si>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</si>
  <si>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</si>
  <si>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</si>
  <si>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</si>
  <si>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</si>
  <si>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</si>
  <si>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</si>
  <si>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</si>
  <si>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</si>
  <si>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</si>
  <si>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</si>
  <si>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</si>
  <si>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</si>
  <si>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</si>
  <si>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</si>
  <si>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</si>
  <si>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</si>
  <si>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</si>
  <si>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</si>
  <si>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</si>
  <si>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</si>
  <si>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</si>
  <si>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</si>
  <si>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</si>
  <si>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</si>
  <si>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</si>
  <si>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</si>
  <si>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</si>
  <si>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</si>
  <si>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</si>
  <si>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</si>
  <si>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</si>
  <si>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</si>
  <si>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</si>
  <si>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</si>
  <si>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</si>
  <si>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</si>
  <si>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</si>
  <si>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</si>
  <si>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</si>
  <si>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</si>
  <si>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</si>
  <si>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</si>
  <si>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</si>
  <si>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</si>
  <si>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</si>
  <si>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</si>
  <si>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</si>
  <si>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</si>
  <si>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</si>
  <si>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</si>
  <si>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</si>
  <si>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</si>
  <si>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</si>
  <si>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</si>
  <si>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</si>
  <si>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</si>
  <si>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</si>
  <si>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</si>
  <si>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</si>
  <si>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</si>
  <si>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</si>
  <si>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</si>
  <si>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</si>
  <si>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</si>
  <si>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</si>
  <si>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</si>
  <si>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</si>
  <si>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</si>
  <si>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</si>
  <si>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</si>
  <si>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</si>
  <si>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</si>
  <si>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</si>
  <si>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</si>
  <si>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</si>
  <si>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</si>
  <si>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</si>
  <si>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</si>
  <si>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</si>
  <si>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</si>
  <si>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</si>
  <si>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</si>
  <si>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</si>
  <si>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</si>
  <si>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</si>
  <si>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</si>
  <si>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</si>
  <si>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</si>
  <si>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</si>
  <si>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</si>
  <si>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</si>
  <si>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</si>
  <si>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</si>
  <si>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</si>
  <si>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</si>
  <si>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</si>
  <si>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</si>
  <si>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</si>
  <si>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</si>
  <si>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</si>
  <si>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</si>
  <si>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</si>
  <si>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</si>
  <si>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</si>
  <si>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</si>
  <si>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</si>
  <si>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</si>
  <si>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</si>
  <si>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</si>
  <si>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</si>
  <si>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</si>
  <si>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</si>
  <si>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</si>
  <si>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</si>
  <si>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</si>
  <si>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</si>
  <si>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</si>
  <si>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</si>
  <si>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</si>
  <si>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</si>
  <si>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</si>
  <si>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</si>
  <si>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</si>
  <si>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</si>
  <si>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</si>
  <si>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</si>
  <si>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</si>
  <si>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</si>
  <si>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</si>
  <si>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</si>
  <si>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</si>
  <si>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</si>
  <si>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</si>
  <si>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</si>
  <si>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</si>
  <si>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</si>
  <si>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</si>
  <si>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</si>
  <si>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</si>
  <si>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</si>
  <si>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</si>
  <si>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</si>
  <si>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</si>
  <si>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</si>
  <si>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</si>
  <si>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</si>
  <si>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</si>
  <si>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</si>
  <si>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</si>
  <si>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</si>
  <si>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</si>
  <si>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</si>
  <si>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</si>
  <si>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</si>
  <si>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</si>
  <si>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</si>
  <si>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</si>
  <si>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</si>
  <si>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</si>
  <si>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</si>
  <si>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</si>
  <si>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</si>
  <si>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</si>
  <si>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</si>
  <si>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</si>
  <si>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</si>
  <si>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</si>
  <si>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</si>
  <si>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</si>
  <si>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</si>
  <si>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</si>
  <si>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</si>
  <si>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</si>
  <si>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</si>
  <si>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</si>
  <si>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</si>
  <si>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</si>
  <si>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</si>
  <si>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</si>
  <si>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</si>
  <si>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</si>
  <si>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</si>
  <si>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</si>
  <si>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</si>
  <si>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</si>
  <si>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</si>
  <si>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</si>
  <si>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</si>
  <si>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</si>
  <si>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</si>
  <si>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</si>
  <si>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</si>
  <si>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</si>
  <si>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</si>
  <si>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</si>
  <si>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</si>
  <si>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</si>
  <si>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</si>
  <si>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</si>
  <si>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</si>
  <si>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</si>
  <si>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</si>
  <si>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</si>
  <si>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</si>
  <si>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</si>
  <si>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</si>
  <si>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</si>
  <si>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</si>
  <si>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</si>
  <si>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</si>
  <si>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</si>
  <si>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</si>
  <si>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</si>
  <si>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</si>
  <si>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</si>
  <si>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</si>
  <si>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</si>
  <si>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</si>
  <si>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</si>
  <si>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</si>
  <si>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</si>
  <si>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</si>
  <si>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</si>
  <si>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</si>
  <si>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</si>
  <si>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</si>
  <si>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</si>
  <si>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</si>
  <si>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</si>
  <si>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</si>
  <si>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</si>
  <si>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</si>
  <si>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</si>
  <si>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</si>
  <si>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</si>
  <si>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</si>
  <si>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</si>
  <si>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</si>
  <si>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</si>
  <si>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</si>
  <si>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</si>
  <si>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</si>
  <si>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</si>
  <si>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</si>
  <si>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</si>
  <si>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</si>
  <si>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</si>
  <si>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</si>
  <si>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</si>
  <si>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</si>
  <si>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</si>
  <si>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</si>
  <si>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</si>
  <si>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</si>
  <si>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</si>
  <si>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</si>
  <si>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</si>
  <si>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</si>
  <si>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</si>
  <si>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</si>
  <si>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</si>
  <si>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</si>
  <si>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</si>
  <si>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</si>
  <si>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</si>
  <si>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</si>
  <si>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</si>
  <si>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</si>
  <si>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</si>
  <si>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</si>
  <si>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</si>
  <si>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</si>
  <si>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</si>
  <si>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</si>
  <si>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</si>
  <si>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</si>
  <si>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</si>
  <si>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</si>
  <si>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</si>
  <si>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</si>
  <si>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</si>
  <si>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</si>
  <si>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</si>
  <si>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</si>
  <si>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</si>
  <si>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</si>
  <si>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</si>
  <si>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</si>
  <si>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</si>
  <si>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</si>
  <si>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</si>
  <si>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</si>
  <si>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</si>
  <si>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</si>
  <si>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</si>
  <si>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</si>
  <si>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</si>
  <si>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</si>
  <si>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</si>
  <si>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</si>
  <si>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</si>
  <si>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</si>
  <si>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</si>
  <si>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</si>
  <si>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</si>
  <si>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</si>
  <si>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</si>
  <si>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</si>
  <si>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</si>
  <si>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</si>
  <si>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</si>
  <si>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</si>
  <si>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</si>
  <si>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</si>
  <si>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</si>
  <si>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</si>
  <si>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</si>
  <si>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</si>
  <si>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</si>
  <si>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</si>
  <si>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</si>
  <si>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</si>
  <si>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</si>
  <si>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</si>
  <si>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</si>
  <si>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</si>
  <si>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</si>
  <si>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</si>
  <si>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</si>
  <si>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</si>
  <si>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</si>
  <si>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</si>
  <si>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</si>
  <si>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</si>
  <si>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</si>
  <si>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</si>
  <si>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</si>
  <si>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</si>
  <si>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</si>
  <si>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</si>
  <si>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</si>
  <si>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</si>
  <si>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</si>
  <si>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</si>
  <si>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</si>
  <si>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</si>
  <si>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</si>
  <si>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</si>
  <si>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</si>
  <si>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</si>
  <si>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</si>
  <si>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</si>
  <si>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</si>
  <si>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</si>
  <si>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</si>
  <si>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</si>
  <si>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</si>
  <si>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</si>
  <si>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</si>
  <si>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</si>
  <si>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</si>
  <si>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</si>
  <si>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</si>
  <si>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</si>
  <si>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</si>
  <si>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</si>
  <si>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</si>
  <si>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</si>
  <si>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</si>
  <si>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</si>
  <si>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</si>
  <si>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</si>
  <si>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</si>
  <si>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</si>
  <si>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</si>
  <si>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</si>
  <si>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</si>
  <si>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</si>
  <si>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</si>
  <si>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</si>
  <si>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</si>
  <si>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</si>
  <si>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</si>
  <si>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</si>
  <si>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</si>
  <si>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</si>
  <si>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</si>
  <si>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</si>
  <si>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</si>
  <si>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</si>
  <si>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</si>
  <si>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</si>
  <si>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</si>
  <si>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</si>
  <si>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</si>
  <si>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</si>
  <si>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</si>
  <si>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</si>
  <si>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</si>
  <si>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</si>
  <si>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</si>
  <si>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</si>
  <si>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</si>
  <si>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</si>
  <si>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</si>
  <si>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</si>
  <si>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</si>
  <si>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</si>
  <si>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</si>
  <si>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</si>
  <si>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</si>
  <si>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</si>
  <si>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</si>
  <si>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</si>
  <si>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</si>
  <si>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</si>
  <si>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</si>
  <si>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</si>
  <si>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</si>
  <si>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</si>
  <si>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</si>
  <si>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</si>
  <si>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</si>
  <si>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</si>
  <si>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</si>
  <si>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</si>
  <si>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</si>
  <si>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</si>
  <si>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</si>
  <si>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</si>
  <si>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</si>
  <si>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</si>
  <si>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</si>
  <si>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</si>
  <si>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</si>
  <si>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</si>
  <si>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</si>
  <si>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</si>
  <si>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</si>
  <si>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</si>
  <si>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</si>
  <si>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</si>
  <si>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</si>
  <si>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</si>
  <si>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</si>
  <si>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</si>
  <si>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</si>
  <si>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</si>
  <si>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</si>
  <si>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</si>
  <si>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</si>
  <si>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</si>
  <si>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</si>
  <si>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</si>
  <si>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</si>
  <si>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</si>
  <si>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</si>
  <si>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</si>
  <si>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</si>
  <si>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</si>
  <si>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</si>
  <si>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</si>
  <si>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</si>
  <si>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</si>
  <si>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</si>
  <si>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</si>
  <si>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</si>
  <si>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</si>
  <si>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</si>
  <si>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</si>
  <si>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</si>
  <si>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</si>
  <si>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</si>
  <si>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</si>
  <si>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</si>
  <si>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</si>
  <si>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</si>
  <si>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</si>
  <si>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</si>
  <si>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</si>
  <si>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</si>
  <si>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</si>
  <si>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</si>
  <si>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</si>
  <si>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</si>
  <si>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</si>
  <si>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</si>
  <si>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</si>
  <si>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</si>
  <si>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</si>
  <si>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</si>
  <si>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</si>
  <si>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</si>
  <si>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</si>
  <si>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</si>
  <si>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</si>
  <si>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</si>
  <si>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</si>
  <si>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</si>
  <si>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</si>
  <si>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</si>
  <si>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</si>
  <si>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</si>
  <si>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</si>
  <si>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</si>
  <si>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</si>
  <si>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</si>
  <si>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</si>
  <si>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</si>
  <si>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</si>
  <si>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</si>
  <si>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</si>
  <si>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</si>
  <si>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</si>
  <si>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</si>
  <si>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</si>
  <si>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</si>
  <si>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</si>
  <si>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</si>
  <si>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</si>
  <si>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</si>
  <si>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</si>
  <si>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</si>
  <si>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</si>
  <si>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</si>
  <si>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</si>
  <si>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</si>
  <si>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</si>
  <si>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</si>
  <si>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</si>
  <si>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</si>
  <si>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</si>
  <si>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</si>
  <si>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</si>
  <si>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</si>
  <si>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</si>
  <si>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</si>
  <si>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</si>
  <si>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</si>
  <si>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</si>
  <si>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</si>
  <si>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</si>
  <si>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</si>
  <si>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</si>
  <si>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</si>
  <si>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</si>
  <si>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</si>
  <si>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</si>
  <si>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</si>
  <si>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</si>
  <si>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</si>
  <si>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</si>
  <si>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</si>
  <si>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</si>
  <si>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</si>
  <si>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</si>
  <si>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</si>
  <si>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</si>
  <si>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</si>
  <si>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</si>
  <si>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</si>
  <si>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</si>
  <si>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</si>
  <si>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</si>
  <si>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</si>
  <si>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</si>
  <si>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</si>
  <si>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</si>
  <si>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</si>
  <si>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</si>
  <si>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</si>
  <si>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</si>
  <si>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</si>
  <si>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</si>
  <si>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</si>
  <si>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</si>
  <si>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</si>
  <si>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</si>
  <si>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</si>
  <si>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</si>
  <si>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</si>
  <si>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</si>
  <si>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</si>
  <si>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</si>
  <si>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</si>
  <si>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</si>
  <si>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</si>
  <si>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</si>
  <si>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</si>
  <si>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</si>
  <si>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</si>
  <si>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</si>
  <si>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</si>
  <si>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</si>
  <si>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</si>
  <si>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</si>
  <si>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</si>
  <si>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</si>
  <si>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</si>
  <si>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</si>
  <si>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</si>
  <si>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</si>
  <si>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</si>
  <si>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</si>
  <si>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</si>
  <si>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</si>
  <si>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</si>
  <si>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</si>
  <si>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</si>
  <si>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</si>
  <si>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</si>
  <si>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</si>
  <si>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</si>
  <si>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</si>
  <si>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</si>
  <si>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</si>
  <si>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</si>
  <si>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23064</t>
  </si>
  <si>
    <t>PEPINGEN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</si>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</sst>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23064</v>
      </c>
      <c r="B6" s="386"/>
      <c r="C6" s="387"/>
    </row>
    <row r="7" spans="1:7" s="384" customFormat="1" ht="15.75" customHeight="1">
      <c r="A7" s="388" t="str">
        <f>txtMunicipality</f>
        <v>PEPINGEN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2569.1093398155963</v>
      </c>
      <c r="D10" s="676">
        <f ca="1">tertiair!C16</f>
        <v>0</v>
      </c>
      <c r="E10" s="676">
        <f ca="1">tertiair!D16</f>
        <v>144.27399800000001</v>
      </c>
      <c r="F10" s="676">
        <f>tertiair!E16</f>
        <v>27.520365300119199</v>
      </c>
      <c r="G10" s="676">
        <f ca="1">tertiair!F16</f>
        <v>452.46542523484118</v>
      </c>
      <c r="H10" s="676">
        <f>tertiair!G16</f>
        <v>0</v>
      </c>
      <c r="I10" s="676">
        <f>tertiair!H16</f>
        <v>0</v>
      </c>
      <c r="J10" s="676">
        <f>tertiair!I16</f>
        <v>0</v>
      </c>
      <c r="K10" s="676">
        <f>tertiair!J16</f>
        <v>0</v>
      </c>
      <c r="L10" s="676">
        <f>tertiair!K16</f>
        <v>0</v>
      </c>
      <c r="M10" s="676">
        <f ca="1">tertiair!L16</f>
        <v>0</v>
      </c>
      <c r="N10" s="676">
        <f>tertiair!M16</f>
        <v>0</v>
      </c>
      <c r="O10" s="676">
        <f ca="1">tertiair!N16</f>
        <v>54.91702438268949</v>
      </c>
      <c r="P10" s="676">
        <f>tertiair!O16</f>
        <v>1.5633333333333335</v>
      </c>
      <c r="Q10" s="677">
        <f>tertiair!P16</f>
        <v>0</v>
      </c>
      <c r="R10" s="679">
        <f ca="1">SUM(C10:Q10)</f>
        <v>3249.8494860665796</v>
      </c>
      <c r="S10" s="67"/>
    </row>
    <row r="11" spans="1:19" s="445" customFormat="1">
      <c r="A11" s="791" t="s">
        <v>220</v>
      </c>
      <c r="B11" s="796"/>
      <c r="C11" s="676">
        <f>huishoudens!B8</f>
        <v>9272.7000885410016</v>
      </c>
      <c r="D11" s="676">
        <f>huishoudens!C8</f>
        <v>0</v>
      </c>
      <c r="E11" s="676">
        <f>huishoudens!D8</f>
        <v>1622.840516</v>
      </c>
      <c r="F11" s="676">
        <f>huishoudens!E8</f>
        <v>712.70589997477907</v>
      </c>
      <c r="G11" s="676">
        <f>huishoudens!F8</f>
        <v>24327.785165758421</v>
      </c>
      <c r="H11" s="676">
        <f>huishoudens!G8</f>
        <v>0</v>
      </c>
      <c r="I11" s="676">
        <f>huishoudens!H8</f>
        <v>0</v>
      </c>
      <c r="J11" s="676">
        <f>huishoudens!I8</f>
        <v>0</v>
      </c>
      <c r="K11" s="676">
        <f>huishoudens!J8</f>
        <v>547.80004401095846</v>
      </c>
      <c r="L11" s="676">
        <f>huishoudens!K8</f>
        <v>0</v>
      </c>
      <c r="M11" s="676">
        <f>huishoudens!L8</f>
        <v>0</v>
      </c>
      <c r="N11" s="676">
        <f>huishoudens!M8</f>
        <v>0</v>
      </c>
      <c r="O11" s="676">
        <f>huishoudens!N8</f>
        <v>2202.0047369931603</v>
      </c>
      <c r="P11" s="676">
        <f>huishoudens!O8</f>
        <v>17.196666666666669</v>
      </c>
      <c r="Q11" s="677">
        <f>huishoudens!P8</f>
        <v>76.266666666666666</v>
      </c>
      <c r="R11" s="679">
        <f>SUM(C11:Q11)</f>
        <v>38779.299784611656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505.24700000000001</v>
      </c>
      <c r="D13" s="676">
        <f>industrie!C18</f>
        <v>0</v>
      </c>
      <c r="E13" s="676">
        <f>industrie!D18</f>
        <v>29.207662000000003</v>
      </c>
      <c r="F13" s="676">
        <f>industrie!E18</f>
        <v>7.0546174047340058</v>
      </c>
      <c r="G13" s="676">
        <f>industrie!F18</f>
        <v>290.08069318829087</v>
      </c>
      <c r="H13" s="676">
        <f>industrie!G18</f>
        <v>0</v>
      </c>
      <c r="I13" s="676">
        <f>industrie!H18</f>
        <v>0</v>
      </c>
      <c r="J13" s="676">
        <f>industrie!I18</f>
        <v>0</v>
      </c>
      <c r="K13" s="676">
        <f>industrie!J18</f>
        <v>1.7388632999550571</v>
      </c>
      <c r="L13" s="676">
        <f>industrie!K18</f>
        <v>0</v>
      </c>
      <c r="M13" s="676">
        <f>industrie!L18</f>
        <v>0</v>
      </c>
      <c r="N13" s="676">
        <f>industrie!M18</f>
        <v>0</v>
      </c>
      <c r="O13" s="676">
        <f>industrie!N18</f>
        <v>27.115635268907251</v>
      </c>
      <c r="P13" s="676">
        <f>industrie!O18</f>
        <v>0</v>
      </c>
      <c r="Q13" s="677">
        <f>industrie!P18</f>
        <v>0</v>
      </c>
      <c r="R13" s="679">
        <f>SUM(C13:Q13)</f>
        <v>860.44447116188712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12347.056428356598</v>
      </c>
      <c r="D16" s="709">
        <f t="shared" ref="D16:R16" ca="1" si="0">SUM(D9:D15)</f>
        <v>0</v>
      </c>
      <c r="E16" s="709">
        <f t="shared" ca="1" si="0"/>
        <v>1796.3221759999999</v>
      </c>
      <c r="F16" s="709">
        <f t="shared" si="0"/>
        <v>747.28088267963233</v>
      </c>
      <c r="G16" s="709">
        <f t="shared" ca="1" si="0"/>
        <v>25070.331284181553</v>
      </c>
      <c r="H16" s="709">
        <f t="shared" si="0"/>
        <v>0</v>
      </c>
      <c r="I16" s="709">
        <f t="shared" si="0"/>
        <v>0</v>
      </c>
      <c r="J16" s="709">
        <f t="shared" si="0"/>
        <v>0</v>
      </c>
      <c r="K16" s="709">
        <f t="shared" si="0"/>
        <v>549.53890731091349</v>
      </c>
      <c r="L16" s="709">
        <f t="shared" si="0"/>
        <v>0</v>
      </c>
      <c r="M16" s="709">
        <f t="shared" ca="1" si="0"/>
        <v>0</v>
      </c>
      <c r="N16" s="709">
        <f t="shared" si="0"/>
        <v>0</v>
      </c>
      <c r="O16" s="709">
        <f t="shared" ca="1" si="0"/>
        <v>2284.0373966447569</v>
      </c>
      <c r="P16" s="709">
        <f t="shared" si="0"/>
        <v>18.760000000000002</v>
      </c>
      <c r="Q16" s="709">
        <f t="shared" si="0"/>
        <v>76.266666666666666</v>
      </c>
      <c r="R16" s="709">
        <f t="shared" ca="1" si="0"/>
        <v>42889.593741840123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5.7832748089446095</v>
      </c>
      <c r="D19" s="676">
        <f>transport!C54</f>
        <v>0</v>
      </c>
      <c r="E19" s="676">
        <f>transport!D54</f>
        <v>0</v>
      </c>
      <c r="F19" s="676">
        <f>transport!E54</f>
        <v>0</v>
      </c>
      <c r="G19" s="676">
        <f>transport!F54</f>
        <v>0</v>
      </c>
      <c r="H19" s="676">
        <f>transport!G54</f>
        <v>1254.6234065406279</v>
      </c>
      <c r="I19" s="676">
        <f>transport!H54</f>
        <v>0</v>
      </c>
      <c r="J19" s="676">
        <f>transport!I54</f>
        <v>0</v>
      </c>
      <c r="K19" s="676">
        <f>transport!J54</f>
        <v>0</v>
      </c>
      <c r="L19" s="676">
        <f>transport!K54</f>
        <v>0</v>
      </c>
      <c r="M19" s="676">
        <f>transport!L54</f>
        <v>0</v>
      </c>
      <c r="N19" s="676">
        <f>transport!M54</f>
        <v>53.718154947129136</v>
      </c>
      <c r="O19" s="676">
        <f>transport!N54</f>
        <v>0</v>
      </c>
      <c r="P19" s="676">
        <f>transport!O54</f>
        <v>0</v>
      </c>
      <c r="Q19" s="677">
        <f>transport!P54</f>
        <v>0</v>
      </c>
      <c r="R19" s="679">
        <f>SUM(C19:Q19)</f>
        <v>1314.1248362967015</v>
      </c>
      <c r="S19" s="67"/>
    </row>
    <row r="20" spans="1:19" s="445" customFormat="1">
      <c r="A20" s="791" t="s">
        <v>302</v>
      </c>
      <c r="B20" s="796"/>
      <c r="C20" s="676">
        <f>transport!B14</f>
        <v>0.61516608990516952</v>
      </c>
      <c r="D20" s="676">
        <f>transport!C14</f>
        <v>0</v>
      </c>
      <c r="E20" s="676">
        <f>transport!D14</f>
        <v>2.4580257292710432</v>
      </c>
      <c r="F20" s="676">
        <f>transport!E14</f>
        <v>248.23881515091122</v>
      </c>
      <c r="G20" s="676">
        <f>transport!F14</f>
        <v>0</v>
      </c>
      <c r="H20" s="676">
        <f>transport!G14</f>
        <v>39264.128585724284</v>
      </c>
      <c r="I20" s="676">
        <f>transport!H14</f>
        <v>7940.8895916017082</v>
      </c>
      <c r="J20" s="676">
        <f>transport!I14</f>
        <v>0</v>
      </c>
      <c r="K20" s="676">
        <f>transport!J14</f>
        <v>0</v>
      </c>
      <c r="L20" s="676">
        <f>transport!K14</f>
        <v>0</v>
      </c>
      <c r="M20" s="676">
        <f>transport!L14</f>
        <v>0</v>
      </c>
      <c r="N20" s="676">
        <f>transport!M14</f>
        <v>2056.9463329101209</v>
      </c>
      <c r="O20" s="676">
        <f>transport!N14</f>
        <v>0</v>
      </c>
      <c r="P20" s="676">
        <f>transport!O14</f>
        <v>0</v>
      </c>
      <c r="Q20" s="677">
        <f>transport!P14</f>
        <v>0</v>
      </c>
      <c r="R20" s="679">
        <f>SUM(C20:Q20)</f>
        <v>49513.276517206199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6.3984408988497794</v>
      </c>
      <c r="D22" s="794">
        <f t="shared" ref="D22:R22" si="1">SUM(D18:D21)</f>
        <v>0</v>
      </c>
      <c r="E22" s="794">
        <f t="shared" si="1"/>
        <v>2.4580257292710432</v>
      </c>
      <c r="F22" s="794">
        <f t="shared" si="1"/>
        <v>248.23881515091122</v>
      </c>
      <c r="G22" s="794">
        <f t="shared" si="1"/>
        <v>0</v>
      </c>
      <c r="H22" s="794">
        <f t="shared" si="1"/>
        <v>40518.751992264908</v>
      </c>
      <c r="I22" s="794">
        <f t="shared" si="1"/>
        <v>7940.8895916017082</v>
      </c>
      <c r="J22" s="794">
        <f t="shared" si="1"/>
        <v>0</v>
      </c>
      <c r="K22" s="794">
        <f t="shared" si="1"/>
        <v>0</v>
      </c>
      <c r="L22" s="794">
        <f t="shared" si="1"/>
        <v>0</v>
      </c>
      <c r="M22" s="794">
        <f t="shared" si="1"/>
        <v>0</v>
      </c>
      <c r="N22" s="794">
        <f t="shared" si="1"/>
        <v>2110.6644878572502</v>
      </c>
      <c r="O22" s="794">
        <f t="shared" si="1"/>
        <v>0</v>
      </c>
      <c r="P22" s="794">
        <f t="shared" si="1"/>
        <v>0</v>
      </c>
      <c r="Q22" s="794">
        <f t="shared" si="1"/>
        <v>0</v>
      </c>
      <c r="R22" s="794">
        <f t="shared" si="1"/>
        <v>50827.401353502901</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1070.319</v>
      </c>
      <c r="D24" s="676">
        <f>+landbouw!C8</f>
        <v>0</v>
      </c>
      <c r="E24" s="676">
        <f>+landbouw!D8</f>
        <v>0</v>
      </c>
      <c r="F24" s="676">
        <f>+landbouw!E8</f>
        <v>11.208612282614231</v>
      </c>
      <c r="G24" s="676">
        <f>+landbouw!F8</f>
        <v>4581.778589718343</v>
      </c>
      <c r="H24" s="676">
        <f>+landbouw!G8</f>
        <v>0</v>
      </c>
      <c r="I24" s="676">
        <f>+landbouw!H8</f>
        <v>0</v>
      </c>
      <c r="J24" s="676">
        <f>+landbouw!I8</f>
        <v>0</v>
      </c>
      <c r="K24" s="676">
        <f>+landbouw!J8</f>
        <v>95.589080132857703</v>
      </c>
      <c r="L24" s="676">
        <f>+landbouw!K8</f>
        <v>0</v>
      </c>
      <c r="M24" s="676">
        <f>+landbouw!L8</f>
        <v>0</v>
      </c>
      <c r="N24" s="676">
        <f>+landbouw!M8</f>
        <v>0</v>
      </c>
      <c r="O24" s="676">
        <f>+landbouw!N8</f>
        <v>0</v>
      </c>
      <c r="P24" s="676">
        <f>+landbouw!O8</f>
        <v>0</v>
      </c>
      <c r="Q24" s="677">
        <f>+landbouw!P8</f>
        <v>0</v>
      </c>
      <c r="R24" s="679">
        <f>SUM(C24:Q24)</f>
        <v>5758.8952821338153</v>
      </c>
      <c r="S24" s="67"/>
    </row>
    <row r="25" spans="1:19" s="445" customFormat="1" ht="15" thickBot="1">
      <c r="A25" s="813" t="s">
        <v>895</v>
      </c>
      <c r="B25" s="968"/>
      <c r="C25" s="969">
        <f>IF(Onbekend_ele_kWh="---",0,Onbekend_ele_kWh)/1000+IF(REST_rest_ele_kWh="---",0,REST_rest_ele_kWh)/1000</f>
        <v>587.99699999999996</v>
      </c>
      <c r="D25" s="969"/>
      <c r="E25" s="969">
        <f>IF(onbekend_gas_kWh="---",0,onbekend_gas_kWh)/1000+IF(REST_rest_gas_kWh="---",0,REST_rest_gas_kWh)/1000</f>
        <v>14.833</v>
      </c>
      <c r="F25" s="969"/>
      <c r="G25" s="969"/>
      <c r="H25" s="969"/>
      <c r="I25" s="969"/>
      <c r="J25" s="969"/>
      <c r="K25" s="969"/>
      <c r="L25" s="969"/>
      <c r="M25" s="969"/>
      <c r="N25" s="969"/>
      <c r="O25" s="969"/>
      <c r="P25" s="969"/>
      <c r="Q25" s="970"/>
      <c r="R25" s="679">
        <f>SUM(C25:Q25)</f>
        <v>602.82999999999993</v>
      </c>
      <c r="S25" s="67"/>
    </row>
    <row r="26" spans="1:19" s="445" customFormat="1" ht="15.75" thickBot="1">
      <c r="A26" s="682" t="s">
        <v>896</v>
      </c>
      <c r="B26" s="799"/>
      <c r="C26" s="794">
        <f>SUM(C24:C25)</f>
        <v>1658.3159999999998</v>
      </c>
      <c r="D26" s="794">
        <f t="shared" ref="D26:R26" si="2">SUM(D24:D25)</f>
        <v>0</v>
      </c>
      <c r="E26" s="794">
        <f t="shared" si="2"/>
        <v>14.833</v>
      </c>
      <c r="F26" s="794">
        <f t="shared" si="2"/>
        <v>11.208612282614231</v>
      </c>
      <c r="G26" s="794">
        <f t="shared" si="2"/>
        <v>4581.778589718343</v>
      </c>
      <c r="H26" s="794">
        <f t="shared" si="2"/>
        <v>0</v>
      </c>
      <c r="I26" s="794">
        <f t="shared" si="2"/>
        <v>0</v>
      </c>
      <c r="J26" s="794">
        <f t="shared" si="2"/>
        <v>0</v>
      </c>
      <c r="K26" s="794">
        <f t="shared" si="2"/>
        <v>95.589080132857703</v>
      </c>
      <c r="L26" s="794">
        <f t="shared" si="2"/>
        <v>0</v>
      </c>
      <c r="M26" s="794">
        <f t="shared" si="2"/>
        <v>0</v>
      </c>
      <c r="N26" s="794">
        <f t="shared" si="2"/>
        <v>0</v>
      </c>
      <c r="O26" s="794">
        <f t="shared" si="2"/>
        <v>0</v>
      </c>
      <c r="P26" s="794">
        <f t="shared" si="2"/>
        <v>0</v>
      </c>
      <c r="Q26" s="794">
        <f t="shared" si="2"/>
        <v>0</v>
      </c>
      <c r="R26" s="794">
        <f t="shared" si="2"/>
        <v>6361.7252821338152</v>
      </c>
      <c r="S26" s="67"/>
    </row>
    <row r="27" spans="1:19" s="445" customFormat="1" ht="17.25" thickTop="1" thickBot="1">
      <c r="A27" s="683" t="s">
        <v>115</v>
      </c>
      <c r="B27" s="786"/>
      <c r="C27" s="684">
        <f ca="1">C22+C16+C26</f>
        <v>14011.770869255448</v>
      </c>
      <c r="D27" s="684">
        <f t="shared" ref="D27:R27" ca="1" si="3">D22+D16+D26</f>
        <v>0</v>
      </c>
      <c r="E27" s="684">
        <f t="shared" ca="1" si="3"/>
        <v>1813.6132017292709</v>
      </c>
      <c r="F27" s="684">
        <f t="shared" si="3"/>
        <v>1006.7283101131578</v>
      </c>
      <c r="G27" s="684">
        <f t="shared" ca="1" si="3"/>
        <v>29652.109873899895</v>
      </c>
      <c r="H27" s="684">
        <f t="shared" si="3"/>
        <v>40518.751992264908</v>
      </c>
      <c r="I27" s="684">
        <f t="shared" si="3"/>
        <v>7940.8895916017082</v>
      </c>
      <c r="J27" s="684">
        <f t="shared" si="3"/>
        <v>0</v>
      </c>
      <c r="K27" s="684">
        <f t="shared" si="3"/>
        <v>645.12798744377119</v>
      </c>
      <c r="L27" s="684">
        <f t="shared" si="3"/>
        <v>0</v>
      </c>
      <c r="M27" s="684">
        <f t="shared" ca="1" si="3"/>
        <v>0</v>
      </c>
      <c r="N27" s="684">
        <f t="shared" si="3"/>
        <v>2110.6644878572502</v>
      </c>
      <c r="O27" s="684">
        <f t="shared" ca="1" si="3"/>
        <v>2284.0373966447569</v>
      </c>
      <c r="P27" s="684">
        <f t="shared" si="3"/>
        <v>18.760000000000002</v>
      </c>
      <c r="Q27" s="684">
        <f t="shared" si="3"/>
        <v>76.266666666666666</v>
      </c>
      <c r="R27" s="684">
        <f t="shared" ca="1" si="3"/>
        <v>100078.72037747684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540.94255093353536</v>
      </c>
      <c r="D40" s="676">
        <f ca="1">tertiair!C20</f>
        <v>0</v>
      </c>
      <c r="E40" s="676">
        <f ca="1">tertiair!D20</f>
        <v>29.143347596000002</v>
      </c>
      <c r="F40" s="676">
        <f>tertiair!E20</f>
        <v>6.2471229231270584</v>
      </c>
      <c r="G40" s="676">
        <f ca="1">tertiair!F20</f>
        <v>120.8082685377026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697.14128999036507</v>
      </c>
    </row>
    <row r="41" spans="1:18">
      <c r="A41" s="804" t="s">
        <v>220</v>
      </c>
      <c r="B41" s="811"/>
      <c r="C41" s="676">
        <f ca="1">huishoudens!B12</f>
        <v>1952.4268438870815</v>
      </c>
      <c r="D41" s="676">
        <f ca="1">huishoudens!C12</f>
        <v>0</v>
      </c>
      <c r="E41" s="676">
        <f>huishoudens!D12</f>
        <v>327.81378423199999</v>
      </c>
      <c r="F41" s="676">
        <f>huishoudens!E12</f>
        <v>161.78423929427484</v>
      </c>
      <c r="G41" s="676">
        <f>huishoudens!F12</f>
        <v>6495.5186392574988</v>
      </c>
      <c r="H41" s="676">
        <f>huishoudens!G12</f>
        <v>0</v>
      </c>
      <c r="I41" s="676">
        <f>huishoudens!H12</f>
        <v>0</v>
      </c>
      <c r="J41" s="676">
        <f>huishoudens!I12</f>
        <v>0</v>
      </c>
      <c r="K41" s="676">
        <f>huishoudens!J12</f>
        <v>193.92121557987929</v>
      </c>
      <c r="L41" s="676">
        <f>huishoudens!K12</f>
        <v>0</v>
      </c>
      <c r="M41" s="676">
        <f>huishoudens!L12</f>
        <v>0</v>
      </c>
      <c r="N41" s="676">
        <f>huishoudens!M12</f>
        <v>0</v>
      </c>
      <c r="O41" s="676">
        <f>huishoudens!N12</f>
        <v>0</v>
      </c>
      <c r="P41" s="676">
        <f>huishoudens!O12</f>
        <v>0</v>
      </c>
      <c r="Q41" s="751">
        <f>huishoudens!P12</f>
        <v>0</v>
      </c>
      <c r="R41" s="832">
        <f t="shared" ca="1" si="4"/>
        <v>9131.4647222507356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106.38301640020248</v>
      </c>
      <c r="D43" s="676">
        <f ca="1">industrie!C22</f>
        <v>0</v>
      </c>
      <c r="E43" s="676">
        <f>industrie!D22</f>
        <v>5.8999477240000013</v>
      </c>
      <c r="F43" s="676">
        <f>industrie!E22</f>
        <v>1.6013981508746193</v>
      </c>
      <c r="G43" s="676">
        <f>industrie!F22</f>
        <v>77.451545081273665</v>
      </c>
      <c r="H43" s="676">
        <f>industrie!G22</f>
        <v>0</v>
      </c>
      <c r="I43" s="676">
        <f>industrie!H22</f>
        <v>0</v>
      </c>
      <c r="J43" s="676">
        <f>industrie!I22</f>
        <v>0</v>
      </c>
      <c r="K43" s="676">
        <f>industrie!J22</f>
        <v>0.61555760818409022</v>
      </c>
      <c r="L43" s="676">
        <f>industrie!K22</f>
        <v>0</v>
      </c>
      <c r="M43" s="676">
        <f>industrie!L22</f>
        <v>0</v>
      </c>
      <c r="N43" s="676">
        <f>industrie!M22</f>
        <v>0</v>
      </c>
      <c r="O43" s="676">
        <f>industrie!N22</f>
        <v>0</v>
      </c>
      <c r="P43" s="676">
        <f>industrie!O22</f>
        <v>0</v>
      </c>
      <c r="Q43" s="751">
        <f>industrie!P22</f>
        <v>0</v>
      </c>
      <c r="R43" s="831">
        <f t="shared" ca="1" si="4"/>
        <v>191.95146496453484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2599.7524112208193</v>
      </c>
      <c r="D46" s="709">
        <f t="shared" ref="D46:Q46" ca="1" si="5">SUM(D39:D45)</f>
        <v>0</v>
      </c>
      <c r="E46" s="709">
        <f t="shared" ca="1" si="5"/>
        <v>362.85707955200002</v>
      </c>
      <c r="F46" s="709">
        <f t="shared" si="5"/>
        <v>169.63276036827651</v>
      </c>
      <c r="G46" s="709">
        <f t="shared" ca="1" si="5"/>
        <v>6693.7784528764751</v>
      </c>
      <c r="H46" s="709">
        <f t="shared" si="5"/>
        <v>0</v>
      </c>
      <c r="I46" s="709">
        <f t="shared" si="5"/>
        <v>0</v>
      </c>
      <c r="J46" s="709">
        <f t="shared" si="5"/>
        <v>0</v>
      </c>
      <c r="K46" s="709">
        <f t="shared" si="5"/>
        <v>194.53677318806336</v>
      </c>
      <c r="L46" s="709">
        <f t="shared" si="5"/>
        <v>0</v>
      </c>
      <c r="M46" s="709">
        <f t="shared" ca="1" si="5"/>
        <v>0</v>
      </c>
      <c r="N46" s="709">
        <f t="shared" si="5"/>
        <v>0</v>
      </c>
      <c r="O46" s="709">
        <f t="shared" ca="1" si="5"/>
        <v>0</v>
      </c>
      <c r="P46" s="709">
        <f t="shared" si="5"/>
        <v>0</v>
      </c>
      <c r="Q46" s="709">
        <f t="shared" si="5"/>
        <v>0</v>
      </c>
      <c r="R46" s="709">
        <f ca="1">SUM(R39:R45)</f>
        <v>10020.557477205635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1.2177058326854631</v>
      </c>
      <c r="D49" s="676">
        <f ca="1">transport!C58</f>
        <v>0</v>
      </c>
      <c r="E49" s="676">
        <f>transport!D58</f>
        <v>0</v>
      </c>
      <c r="F49" s="676">
        <f>transport!E58</f>
        <v>0</v>
      </c>
      <c r="G49" s="676">
        <f>transport!F58</f>
        <v>0</v>
      </c>
      <c r="H49" s="676">
        <f>transport!G58</f>
        <v>334.98444954634766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336.20215537903312</v>
      </c>
    </row>
    <row r="50" spans="1:18">
      <c r="A50" s="807" t="s">
        <v>302</v>
      </c>
      <c r="B50" s="817"/>
      <c r="C50" s="975">
        <f ca="1">transport!B18</f>
        <v>0.12952719012924388</v>
      </c>
      <c r="D50" s="975">
        <f>transport!C18</f>
        <v>0</v>
      </c>
      <c r="E50" s="975">
        <f>transport!D18</f>
        <v>0.49652119731275074</v>
      </c>
      <c r="F50" s="975">
        <f>transport!E18</f>
        <v>56.350211039256848</v>
      </c>
      <c r="G50" s="975">
        <f>transport!F18</f>
        <v>0</v>
      </c>
      <c r="H50" s="975">
        <f>transport!G18</f>
        <v>10483.522332388384</v>
      </c>
      <c r="I50" s="975">
        <f>transport!H18</f>
        <v>1977.2815083088253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12517.78010012391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1.3472330228147069</v>
      </c>
      <c r="D52" s="709">
        <f t="shared" ref="D52:Q52" ca="1" si="6">SUM(D48:D51)</f>
        <v>0</v>
      </c>
      <c r="E52" s="709">
        <f t="shared" si="6"/>
        <v>0.49652119731275074</v>
      </c>
      <c r="F52" s="709">
        <f t="shared" si="6"/>
        <v>56.350211039256848</v>
      </c>
      <c r="G52" s="709">
        <f t="shared" si="6"/>
        <v>0</v>
      </c>
      <c r="H52" s="709">
        <f t="shared" si="6"/>
        <v>10818.506781934731</v>
      </c>
      <c r="I52" s="709">
        <f t="shared" si="6"/>
        <v>1977.2815083088253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12853.982255502942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225.36257262378263</v>
      </c>
      <c r="D54" s="975">
        <f ca="1">+landbouw!C12</f>
        <v>0</v>
      </c>
      <c r="E54" s="975">
        <f>+landbouw!D12</f>
        <v>0</v>
      </c>
      <c r="F54" s="975">
        <f>+landbouw!E12</f>
        <v>2.5443549881534304</v>
      </c>
      <c r="G54" s="975">
        <f>+landbouw!F12</f>
        <v>1223.3348834547976</v>
      </c>
      <c r="H54" s="975">
        <f>+landbouw!G12</f>
        <v>0</v>
      </c>
      <c r="I54" s="975">
        <f>+landbouw!H12</f>
        <v>0</v>
      </c>
      <c r="J54" s="975">
        <f>+landbouw!I12</f>
        <v>0</v>
      </c>
      <c r="K54" s="975">
        <f>+landbouw!J12</f>
        <v>33.838534367031627</v>
      </c>
      <c r="L54" s="975">
        <f>+landbouw!K12</f>
        <v>0</v>
      </c>
      <c r="M54" s="975">
        <f>+landbouw!L12</f>
        <v>0</v>
      </c>
      <c r="N54" s="975">
        <f>+landbouw!M12</f>
        <v>0</v>
      </c>
      <c r="O54" s="975">
        <f>+landbouw!N12</f>
        <v>0</v>
      </c>
      <c r="P54" s="975">
        <f>+landbouw!O12</f>
        <v>0</v>
      </c>
      <c r="Q54" s="976">
        <f>+landbouw!P12</f>
        <v>0</v>
      </c>
      <c r="R54" s="708">
        <f ca="1">SUM(C54:Q54)</f>
        <v>1485.0803454337652</v>
      </c>
    </row>
    <row r="55" spans="1:18" ht="15" thickBot="1">
      <c r="A55" s="807" t="s">
        <v>895</v>
      </c>
      <c r="B55" s="817"/>
      <c r="C55" s="975">
        <f ca="1">C25*'EF ele_warmte'!B12</f>
        <v>123.8065629172857</v>
      </c>
      <c r="D55" s="975"/>
      <c r="E55" s="975">
        <f>E25*EF_CO2_aardgas</f>
        <v>2.9962660000000003</v>
      </c>
      <c r="F55" s="975"/>
      <c r="G55" s="975"/>
      <c r="H55" s="975"/>
      <c r="I55" s="975"/>
      <c r="J55" s="975"/>
      <c r="K55" s="975"/>
      <c r="L55" s="975"/>
      <c r="M55" s="975"/>
      <c r="N55" s="975"/>
      <c r="O55" s="975"/>
      <c r="P55" s="975"/>
      <c r="Q55" s="976"/>
      <c r="R55" s="708">
        <f ca="1">SUM(C55:Q55)</f>
        <v>126.80282891728571</v>
      </c>
    </row>
    <row r="56" spans="1:18" ht="15.75" thickBot="1">
      <c r="A56" s="805" t="s">
        <v>896</v>
      </c>
      <c r="B56" s="818"/>
      <c r="C56" s="709">
        <f ca="1">SUM(C54:C55)</f>
        <v>349.16913554106833</v>
      </c>
      <c r="D56" s="709">
        <f t="shared" ref="D56:Q56" ca="1" si="7">SUM(D54:D55)</f>
        <v>0</v>
      </c>
      <c r="E56" s="709">
        <f t="shared" si="7"/>
        <v>2.9962660000000003</v>
      </c>
      <c r="F56" s="709">
        <f t="shared" si="7"/>
        <v>2.5443549881534304</v>
      </c>
      <c r="G56" s="709">
        <f t="shared" si="7"/>
        <v>1223.3348834547976</v>
      </c>
      <c r="H56" s="709">
        <f t="shared" si="7"/>
        <v>0</v>
      </c>
      <c r="I56" s="709">
        <f t="shared" si="7"/>
        <v>0</v>
      </c>
      <c r="J56" s="709">
        <f t="shared" si="7"/>
        <v>0</v>
      </c>
      <c r="K56" s="709">
        <f t="shared" si="7"/>
        <v>33.838534367031627</v>
      </c>
      <c r="L56" s="709">
        <f t="shared" si="7"/>
        <v>0</v>
      </c>
      <c r="M56" s="709">
        <f t="shared" si="7"/>
        <v>0</v>
      </c>
      <c r="N56" s="709">
        <f t="shared" si="7"/>
        <v>0</v>
      </c>
      <c r="O56" s="709">
        <f t="shared" si="7"/>
        <v>0</v>
      </c>
      <c r="P56" s="709">
        <f t="shared" si="7"/>
        <v>0</v>
      </c>
      <c r="Q56" s="710">
        <f t="shared" si="7"/>
        <v>0</v>
      </c>
      <c r="R56" s="711">
        <f ca="1">SUM(R54:R55)</f>
        <v>1611.8831743510509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2950.2687797847025</v>
      </c>
      <c r="D61" s="717">
        <f t="shared" ref="D61:Q61" ca="1" si="8">D46+D52+D56</f>
        <v>0</v>
      </c>
      <c r="E61" s="717">
        <f t="shared" ca="1" si="8"/>
        <v>366.34986674931275</v>
      </c>
      <c r="F61" s="717">
        <f t="shared" si="8"/>
        <v>228.52732639568677</v>
      </c>
      <c r="G61" s="717">
        <f t="shared" ca="1" si="8"/>
        <v>7917.1133363312729</v>
      </c>
      <c r="H61" s="717">
        <f t="shared" si="8"/>
        <v>10818.506781934731</v>
      </c>
      <c r="I61" s="717">
        <f t="shared" si="8"/>
        <v>1977.2815083088253</v>
      </c>
      <c r="J61" s="717">
        <f t="shared" si="8"/>
        <v>0</v>
      </c>
      <c r="K61" s="717">
        <f t="shared" si="8"/>
        <v>228.37530755509499</v>
      </c>
      <c r="L61" s="717">
        <f t="shared" si="8"/>
        <v>0</v>
      </c>
      <c r="M61" s="717">
        <f t="shared" ca="1" si="8"/>
        <v>0</v>
      </c>
      <c r="N61" s="717">
        <f t="shared" si="8"/>
        <v>0</v>
      </c>
      <c r="O61" s="717">
        <f t="shared" ca="1" si="8"/>
        <v>0</v>
      </c>
      <c r="P61" s="717">
        <f t="shared" si="8"/>
        <v>0</v>
      </c>
      <c r="Q61" s="717">
        <f t="shared" si="8"/>
        <v>0</v>
      </c>
      <c r="R61" s="717">
        <f ca="1">R46+R52+R56</f>
        <v>24486.422907059627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0.21055645337864939</v>
      </c>
      <c r="D63" s="761">
        <f t="shared" ca="1" si="9"/>
        <v>0</v>
      </c>
      <c r="E63" s="977">
        <f t="shared" ca="1" si="9"/>
        <v>0.20200000000000001</v>
      </c>
      <c r="F63" s="761">
        <f t="shared" si="9"/>
        <v>0.22699999999999995</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662.13838154186317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662.13838154186317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9272.7000885410016</v>
      </c>
      <c r="C4" s="449">
        <f>huishoudens!C8</f>
        <v>0</v>
      </c>
      <c r="D4" s="449">
        <f>huishoudens!D8</f>
        <v>1622.840516</v>
      </c>
      <c r="E4" s="449">
        <f>huishoudens!E8</f>
        <v>712.70589997477907</v>
      </c>
      <c r="F4" s="449">
        <f>huishoudens!F8</f>
        <v>24327.785165758421</v>
      </c>
      <c r="G4" s="449">
        <f>huishoudens!G8</f>
        <v>0</v>
      </c>
      <c r="H4" s="449">
        <f>huishoudens!H8</f>
        <v>0</v>
      </c>
      <c r="I4" s="449">
        <f>huishoudens!I8</f>
        <v>0</v>
      </c>
      <c r="J4" s="449">
        <f>huishoudens!J8</f>
        <v>547.80004401095846</v>
      </c>
      <c r="K4" s="449">
        <f>huishoudens!K8</f>
        <v>0</v>
      </c>
      <c r="L4" s="449">
        <f>huishoudens!L8</f>
        <v>0</v>
      </c>
      <c r="M4" s="449">
        <f>huishoudens!M8</f>
        <v>0</v>
      </c>
      <c r="N4" s="449">
        <f>huishoudens!N8</f>
        <v>2202.0047369931603</v>
      </c>
      <c r="O4" s="449">
        <f>huishoudens!O8</f>
        <v>17.196666666666669</v>
      </c>
      <c r="P4" s="450">
        <f>huishoudens!P8</f>
        <v>76.266666666666666</v>
      </c>
      <c r="Q4" s="451">
        <f>SUM(B4:P4)</f>
        <v>38779.299784611656</v>
      </c>
    </row>
    <row r="5" spans="1:17">
      <c r="A5" s="448" t="s">
        <v>155</v>
      </c>
      <c r="B5" s="449">
        <f ca="1">tertiair!B16</f>
        <v>2169.2373398155964</v>
      </c>
      <c r="C5" s="449">
        <f ca="1">tertiair!C16</f>
        <v>0</v>
      </c>
      <c r="D5" s="449">
        <f ca="1">tertiair!D16</f>
        <v>144.27399800000001</v>
      </c>
      <c r="E5" s="449">
        <f>tertiair!E16</f>
        <v>27.520365300119199</v>
      </c>
      <c r="F5" s="449">
        <f ca="1">tertiair!F16</f>
        <v>452.46542523484118</v>
      </c>
      <c r="G5" s="449">
        <f>tertiair!G16</f>
        <v>0</v>
      </c>
      <c r="H5" s="449">
        <f>tertiair!H16</f>
        <v>0</v>
      </c>
      <c r="I5" s="449">
        <f>tertiair!I16</f>
        <v>0</v>
      </c>
      <c r="J5" s="449">
        <f>tertiair!J16</f>
        <v>0</v>
      </c>
      <c r="K5" s="449">
        <f>tertiair!K16</f>
        <v>0</v>
      </c>
      <c r="L5" s="449">
        <f ca="1">tertiair!L16</f>
        <v>0</v>
      </c>
      <c r="M5" s="449">
        <f>tertiair!M16</f>
        <v>0</v>
      </c>
      <c r="N5" s="449">
        <f ca="1">tertiair!N16</f>
        <v>54.91702438268949</v>
      </c>
      <c r="O5" s="449">
        <f>tertiair!O16</f>
        <v>1.5633333333333335</v>
      </c>
      <c r="P5" s="450">
        <f>tertiair!P16</f>
        <v>0</v>
      </c>
      <c r="Q5" s="448">
        <f t="shared" ref="Q5:Q14" ca="1" si="0">SUM(B5:P5)</f>
        <v>2849.9774860665793</v>
      </c>
    </row>
    <row r="6" spans="1:17">
      <c r="A6" s="448" t="s">
        <v>193</v>
      </c>
      <c r="B6" s="449">
        <f>'openbare verlichting'!B8</f>
        <v>399.87200000000001</v>
      </c>
      <c r="C6" s="449"/>
      <c r="D6" s="449"/>
      <c r="E6" s="449"/>
      <c r="F6" s="449"/>
      <c r="G6" s="449"/>
      <c r="H6" s="449"/>
      <c r="I6" s="449"/>
      <c r="J6" s="449"/>
      <c r="K6" s="449"/>
      <c r="L6" s="449"/>
      <c r="M6" s="449"/>
      <c r="N6" s="449"/>
      <c r="O6" s="449"/>
      <c r="P6" s="450"/>
      <c r="Q6" s="448">
        <f t="shared" si="0"/>
        <v>399.87200000000001</v>
      </c>
    </row>
    <row r="7" spans="1:17">
      <c r="A7" s="448" t="s">
        <v>111</v>
      </c>
      <c r="B7" s="449">
        <f>landbouw!B8</f>
        <v>1070.319</v>
      </c>
      <c r="C7" s="449">
        <f>landbouw!C8</f>
        <v>0</v>
      </c>
      <c r="D7" s="449">
        <f>landbouw!D8</f>
        <v>0</v>
      </c>
      <c r="E7" s="449">
        <f>landbouw!E8</f>
        <v>11.208612282614231</v>
      </c>
      <c r="F7" s="449">
        <f>landbouw!F8</f>
        <v>4581.778589718343</v>
      </c>
      <c r="G7" s="449">
        <f>landbouw!G8</f>
        <v>0</v>
      </c>
      <c r="H7" s="449">
        <f>landbouw!H8</f>
        <v>0</v>
      </c>
      <c r="I7" s="449">
        <f>landbouw!I8</f>
        <v>0</v>
      </c>
      <c r="J7" s="449">
        <f>landbouw!J8</f>
        <v>95.589080132857703</v>
      </c>
      <c r="K7" s="449">
        <f>landbouw!K8</f>
        <v>0</v>
      </c>
      <c r="L7" s="449">
        <f>landbouw!L8</f>
        <v>0</v>
      </c>
      <c r="M7" s="449">
        <f>landbouw!M8</f>
        <v>0</v>
      </c>
      <c r="N7" s="449">
        <f>landbouw!N8</f>
        <v>0</v>
      </c>
      <c r="O7" s="449">
        <f>landbouw!O8</f>
        <v>0</v>
      </c>
      <c r="P7" s="450">
        <f>landbouw!P8</f>
        <v>0</v>
      </c>
      <c r="Q7" s="448">
        <f t="shared" si="0"/>
        <v>5758.8952821338153</v>
      </c>
    </row>
    <row r="8" spans="1:17">
      <c r="A8" s="448" t="s">
        <v>643</v>
      </c>
      <c r="B8" s="449">
        <f>industrie!B18</f>
        <v>505.24700000000001</v>
      </c>
      <c r="C8" s="449">
        <f>industrie!C18</f>
        <v>0</v>
      </c>
      <c r="D8" s="449">
        <f>industrie!D18</f>
        <v>29.207662000000003</v>
      </c>
      <c r="E8" s="449">
        <f>industrie!E18</f>
        <v>7.0546174047340058</v>
      </c>
      <c r="F8" s="449">
        <f>industrie!F18</f>
        <v>290.08069318829087</v>
      </c>
      <c r="G8" s="449">
        <f>industrie!G18</f>
        <v>0</v>
      </c>
      <c r="H8" s="449">
        <f>industrie!H18</f>
        <v>0</v>
      </c>
      <c r="I8" s="449">
        <f>industrie!I18</f>
        <v>0</v>
      </c>
      <c r="J8" s="449">
        <f>industrie!J18</f>
        <v>1.7388632999550571</v>
      </c>
      <c r="K8" s="449">
        <f>industrie!K18</f>
        <v>0</v>
      </c>
      <c r="L8" s="449">
        <f>industrie!L18</f>
        <v>0</v>
      </c>
      <c r="M8" s="449">
        <f>industrie!M18</f>
        <v>0</v>
      </c>
      <c r="N8" s="449">
        <f>industrie!N18</f>
        <v>27.115635268907251</v>
      </c>
      <c r="O8" s="449">
        <f>industrie!O18</f>
        <v>0</v>
      </c>
      <c r="P8" s="450">
        <f>industrie!P18</f>
        <v>0</v>
      </c>
      <c r="Q8" s="448">
        <f t="shared" si="0"/>
        <v>860.44447116188712</v>
      </c>
    </row>
    <row r="9" spans="1:17" s="454" customFormat="1">
      <c r="A9" s="452" t="s">
        <v>562</v>
      </c>
      <c r="B9" s="453">
        <f>transport!B14</f>
        <v>0.61516608990516952</v>
      </c>
      <c r="C9" s="453">
        <f>transport!C14</f>
        <v>0</v>
      </c>
      <c r="D9" s="453">
        <f>transport!D14</f>
        <v>2.4580257292710432</v>
      </c>
      <c r="E9" s="453">
        <f>transport!E14</f>
        <v>248.23881515091122</v>
      </c>
      <c r="F9" s="453">
        <f>transport!F14</f>
        <v>0</v>
      </c>
      <c r="G9" s="453">
        <f>transport!G14</f>
        <v>39264.128585724284</v>
      </c>
      <c r="H9" s="453">
        <f>transport!H14</f>
        <v>7940.8895916017082</v>
      </c>
      <c r="I9" s="453">
        <f>transport!I14</f>
        <v>0</v>
      </c>
      <c r="J9" s="453">
        <f>transport!J14</f>
        <v>0</v>
      </c>
      <c r="K9" s="453">
        <f>transport!K14</f>
        <v>0</v>
      </c>
      <c r="L9" s="453">
        <f>transport!L14</f>
        <v>0</v>
      </c>
      <c r="M9" s="453">
        <f>transport!M14</f>
        <v>2056.9463329101209</v>
      </c>
      <c r="N9" s="453">
        <f>transport!N14</f>
        <v>0</v>
      </c>
      <c r="O9" s="453">
        <f>transport!O14</f>
        <v>0</v>
      </c>
      <c r="P9" s="453">
        <f>transport!P14</f>
        <v>0</v>
      </c>
      <c r="Q9" s="452">
        <f>SUM(B9:P9)</f>
        <v>49513.276517206199</v>
      </c>
    </row>
    <row r="10" spans="1:17">
      <c r="A10" s="448" t="s">
        <v>552</v>
      </c>
      <c r="B10" s="449">
        <f>transport!B54</f>
        <v>5.7832748089446095</v>
      </c>
      <c r="C10" s="449">
        <f>transport!C54</f>
        <v>0</v>
      </c>
      <c r="D10" s="449">
        <f>transport!D54</f>
        <v>0</v>
      </c>
      <c r="E10" s="449">
        <f>transport!E54</f>
        <v>0</v>
      </c>
      <c r="F10" s="449">
        <f>transport!F54</f>
        <v>0</v>
      </c>
      <c r="G10" s="449">
        <f>transport!G54</f>
        <v>1254.6234065406279</v>
      </c>
      <c r="H10" s="449">
        <f>transport!H54</f>
        <v>0</v>
      </c>
      <c r="I10" s="449">
        <f>transport!I54</f>
        <v>0</v>
      </c>
      <c r="J10" s="449">
        <f>transport!J54</f>
        <v>0</v>
      </c>
      <c r="K10" s="449">
        <f>transport!K54</f>
        <v>0</v>
      </c>
      <c r="L10" s="449">
        <f>transport!L54</f>
        <v>0</v>
      </c>
      <c r="M10" s="449">
        <f>transport!M54</f>
        <v>53.718154947129136</v>
      </c>
      <c r="N10" s="449">
        <f>transport!N54</f>
        <v>0</v>
      </c>
      <c r="O10" s="449">
        <f>transport!O54</f>
        <v>0</v>
      </c>
      <c r="P10" s="450">
        <f>transport!P54</f>
        <v>0</v>
      </c>
      <c r="Q10" s="448">
        <f t="shared" si="0"/>
        <v>1314.1248362967015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587.99699999999996</v>
      </c>
      <c r="C14" s="456"/>
      <c r="D14" s="456">
        <f>'SEAP template'!E25</f>
        <v>14.833</v>
      </c>
      <c r="E14" s="456"/>
      <c r="F14" s="456"/>
      <c r="G14" s="456"/>
      <c r="H14" s="456"/>
      <c r="I14" s="456"/>
      <c r="J14" s="456"/>
      <c r="K14" s="456"/>
      <c r="L14" s="456"/>
      <c r="M14" s="456"/>
      <c r="N14" s="456"/>
      <c r="O14" s="456"/>
      <c r="P14" s="457"/>
      <c r="Q14" s="448">
        <f t="shared" si="0"/>
        <v>602.82999999999993</v>
      </c>
    </row>
    <row r="15" spans="1:17" s="461" customFormat="1">
      <c r="A15" s="458" t="s">
        <v>556</v>
      </c>
      <c r="B15" s="459">
        <f ca="1">SUM(B4:B14)</f>
        <v>14011.770869255444</v>
      </c>
      <c r="C15" s="459">
        <f t="shared" ref="C15:Q15" ca="1" si="1">SUM(C4:C14)</f>
        <v>0</v>
      </c>
      <c r="D15" s="459">
        <f t="shared" ca="1" si="1"/>
        <v>1813.6132017292709</v>
      </c>
      <c r="E15" s="459">
        <f t="shared" si="1"/>
        <v>1006.7283101131578</v>
      </c>
      <c r="F15" s="459">
        <f t="shared" ca="1" si="1"/>
        <v>29652.109873899895</v>
      </c>
      <c r="G15" s="459">
        <f t="shared" si="1"/>
        <v>40518.751992264908</v>
      </c>
      <c r="H15" s="459">
        <f t="shared" si="1"/>
        <v>7940.8895916017082</v>
      </c>
      <c r="I15" s="459">
        <f t="shared" si="1"/>
        <v>0</v>
      </c>
      <c r="J15" s="459">
        <f t="shared" si="1"/>
        <v>645.12798744377119</v>
      </c>
      <c r="K15" s="459">
        <f t="shared" si="1"/>
        <v>0</v>
      </c>
      <c r="L15" s="459">
        <f t="shared" ca="1" si="1"/>
        <v>0</v>
      </c>
      <c r="M15" s="459">
        <f t="shared" si="1"/>
        <v>2110.6644878572502</v>
      </c>
      <c r="N15" s="459">
        <f t="shared" ca="1" si="1"/>
        <v>2284.0373966447569</v>
      </c>
      <c r="O15" s="459">
        <f t="shared" si="1"/>
        <v>18.760000000000002</v>
      </c>
      <c r="P15" s="459">
        <f t="shared" si="1"/>
        <v>76.266666666666666</v>
      </c>
      <c r="Q15" s="459">
        <f t="shared" ca="1" si="1"/>
        <v>100078.72037747684</v>
      </c>
    </row>
    <row r="17" spans="1:17">
      <c r="A17" s="462" t="s">
        <v>557</v>
      </c>
      <c r="B17" s="766">
        <f ca="1">huishoudens!B10</f>
        <v>0.21055645337864939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1952.4268438870815</v>
      </c>
      <c r="C22" s="449">
        <f t="shared" ref="C22:C32" ca="1" si="3">C4*$C$17</f>
        <v>0</v>
      </c>
      <c r="D22" s="449">
        <f t="shared" ref="D22:D32" si="4">D4*$D$17</f>
        <v>327.81378423199999</v>
      </c>
      <c r="E22" s="449">
        <f t="shared" ref="E22:E32" si="5">E4*$E$17</f>
        <v>161.78423929427484</v>
      </c>
      <c r="F22" s="449">
        <f t="shared" ref="F22:F32" si="6">F4*$F$17</f>
        <v>6495.5186392574988</v>
      </c>
      <c r="G22" s="449">
        <f t="shared" ref="G22:G32" si="7">G4*$G$17</f>
        <v>0</v>
      </c>
      <c r="H22" s="449">
        <f t="shared" ref="H22:H32" si="8">H4*$H$17</f>
        <v>0</v>
      </c>
      <c r="I22" s="449">
        <f t="shared" ref="I22:I32" si="9">I4*$I$17</f>
        <v>0</v>
      </c>
      <c r="J22" s="449">
        <f t="shared" ref="J22:J32" si="10">J4*$J$17</f>
        <v>193.92121557987929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9131.4647222507356</v>
      </c>
    </row>
    <row r="23" spans="1:17">
      <c r="A23" s="448" t="s">
        <v>155</v>
      </c>
      <c r="B23" s="449">
        <f t="shared" ca="1" si="2"/>
        <v>456.74692080810809</v>
      </c>
      <c r="C23" s="449">
        <f t="shared" ca="1" si="3"/>
        <v>0</v>
      </c>
      <c r="D23" s="449">
        <f t="shared" ca="1" si="4"/>
        <v>29.143347596000002</v>
      </c>
      <c r="E23" s="449">
        <f t="shared" si="5"/>
        <v>6.2471229231270584</v>
      </c>
      <c r="F23" s="449">
        <f t="shared" ca="1" si="6"/>
        <v>120.8082685377026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612.94565986493774</v>
      </c>
    </row>
    <row r="24" spans="1:17">
      <c r="A24" s="448" t="s">
        <v>193</v>
      </c>
      <c r="B24" s="449">
        <f t="shared" ca="1" si="2"/>
        <v>84.1956301254273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84.1956301254273</v>
      </c>
    </row>
    <row r="25" spans="1:17">
      <c r="A25" s="448" t="s">
        <v>111</v>
      </c>
      <c r="B25" s="449">
        <f t="shared" ca="1" si="2"/>
        <v>225.36257262378263</v>
      </c>
      <c r="C25" s="449">
        <f t="shared" ca="1" si="3"/>
        <v>0</v>
      </c>
      <c r="D25" s="449">
        <f t="shared" si="4"/>
        <v>0</v>
      </c>
      <c r="E25" s="449">
        <f t="shared" si="5"/>
        <v>2.5443549881534304</v>
      </c>
      <c r="F25" s="449">
        <f t="shared" si="6"/>
        <v>1223.3348834547976</v>
      </c>
      <c r="G25" s="449">
        <f t="shared" si="7"/>
        <v>0</v>
      </c>
      <c r="H25" s="449">
        <f t="shared" si="8"/>
        <v>0</v>
      </c>
      <c r="I25" s="449">
        <f t="shared" si="9"/>
        <v>0</v>
      </c>
      <c r="J25" s="449">
        <f t="shared" si="10"/>
        <v>33.838534367031627</v>
      </c>
      <c r="K25" s="449">
        <f t="shared" si="11"/>
        <v>0</v>
      </c>
      <c r="L25" s="449">
        <f t="shared" si="12"/>
        <v>0</v>
      </c>
      <c r="M25" s="449">
        <f t="shared" si="13"/>
        <v>0</v>
      </c>
      <c r="N25" s="449">
        <f t="shared" si="14"/>
        <v>0</v>
      </c>
      <c r="O25" s="449">
        <f t="shared" si="15"/>
        <v>0</v>
      </c>
      <c r="P25" s="450">
        <f t="shared" si="16"/>
        <v>0</v>
      </c>
      <c r="Q25" s="448">
        <f t="shared" ca="1" si="17"/>
        <v>1485.0803454337652</v>
      </c>
    </row>
    <row r="26" spans="1:17">
      <c r="A26" s="448" t="s">
        <v>643</v>
      </c>
      <c r="B26" s="449">
        <f t="shared" ca="1" si="2"/>
        <v>106.38301640020248</v>
      </c>
      <c r="C26" s="449">
        <f t="shared" ca="1" si="3"/>
        <v>0</v>
      </c>
      <c r="D26" s="449">
        <f t="shared" si="4"/>
        <v>5.8999477240000013</v>
      </c>
      <c r="E26" s="449">
        <f t="shared" si="5"/>
        <v>1.6013981508746193</v>
      </c>
      <c r="F26" s="449">
        <f t="shared" si="6"/>
        <v>77.451545081273665</v>
      </c>
      <c r="G26" s="449">
        <f t="shared" si="7"/>
        <v>0</v>
      </c>
      <c r="H26" s="449">
        <f t="shared" si="8"/>
        <v>0</v>
      </c>
      <c r="I26" s="449">
        <f t="shared" si="9"/>
        <v>0</v>
      </c>
      <c r="J26" s="449">
        <f t="shared" si="10"/>
        <v>0.61555760818409022</v>
      </c>
      <c r="K26" s="449">
        <f t="shared" si="11"/>
        <v>0</v>
      </c>
      <c r="L26" s="449">
        <f t="shared" si="12"/>
        <v>0</v>
      </c>
      <c r="M26" s="449">
        <f t="shared" si="13"/>
        <v>0</v>
      </c>
      <c r="N26" s="449">
        <f t="shared" si="14"/>
        <v>0</v>
      </c>
      <c r="O26" s="449">
        <f t="shared" si="15"/>
        <v>0</v>
      </c>
      <c r="P26" s="450">
        <f t="shared" si="16"/>
        <v>0</v>
      </c>
      <c r="Q26" s="448">
        <f t="shared" ca="1" si="17"/>
        <v>191.95146496453484</v>
      </c>
    </row>
    <row r="27" spans="1:17" s="454" customFormat="1">
      <c r="A27" s="452" t="s">
        <v>562</v>
      </c>
      <c r="B27" s="760">
        <f t="shared" ca="1" si="2"/>
        <v>0.12952719012924388</v>
      </c>
      <c r="C27" s="453">
        <f t="shared" ca="1" si="3"/>
        <v>0</v>
      </c>
      <c r="D27" s="453">
        <f t="shared" si="4"/>
        <v>0.49652119731275074</v>
      </c>
      <c r="E27" s="453">
        <f t="shared" si="5"/>
        <v>56.350211039256848</v>
      </c>
      <c r="F27" s="453">
        <f t="shared" si="6"/>
        <v>0</v>
      </c>
      <c r="G27" s="453">
        <f t="shared" si="7"/>
        <v>10483.522332388384</v>
      </c>
      <c r="H27" s="453">
        <f t="shared" si="8"/>
        <v>1977.2815083088253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12517.78010012391</v>
      </c>
    </row>
    <row r="28" spans="1:17">
      <c r="A28" s="448" t="s">
        <v>552</v>
      </c>
      <c r="B28" s="449">
        <f t="shared" ca="1" si="2"/>
        <v>1.2177058326854631</v>
      </c>
      <c r="C28" s="449">
        <f t="shared" ca="1" si="3"/>
        <v>0</v>
      </c>
      <c r="D28" s="449">
        <f t="shared" si="4"/>
        <v>0</v>
      </c>
      <c r="E28" s="449">
        <f t="shared" si="5"/>
        <v>0</v>
      </c>
      <c r="F28" s="449">
        <f t="shared" si="6"/>
        <v>0</v>
      </c>
      <c r="G28" s="449">
        <f t="shared" si="7"/>
        <v>334.98444954634766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336.20215537903312</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123.8065629172857</v>
      </c>
      <c r="C32" s="449">
        <f t="shared" ca="1" si="3"/>
        <v>0</v>
      </c>
      <c r="D32" s="449">
        <f t="shared" si="4"/>
        <v>2.9962660000000003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126.80282891728571</v>
      </c>
    </row>
    <row r="33" spans="1:17" s="461" customFormat="1">
      <c r="A33" s="458" t="s">
        <v>556</v>
      </c>
      <c r="B33" s="459">
        <f ca="1">SUM(B22:B32)</f>
        <v>2950.2687797847029</v>
      </c>
      <c r="C33" s="459">
        <f t="shared" ref="C33:Q33" ca="1" si="19">SUM(C22:C32)</f>
        <v>0</v>
      </c>
      <c r="D33" s="459">
        <f t="shared" ca="1" si="19"/>
        <v>366.34986674931275</v>
      </c>
      <c r="E33" s="459">
        <f t="shared" si="19"/>
        <v>228.52732639568677</v>
      </c>
      <c r="F33" s="459">
        <f t="shared" ca="1" si="19"/>
        <v>7917.1133363312729</v>
      </c>
      <c r="G33" s="459">
        <f t="shared" si="19"/>
        <v>10818.506781934731</v>
      </c>
      <c r="H33" s="459">
        <f t="shared" si="19"/>
        <v>1977.2815083088253</v>
      </c>
      <c r="I33" s="459">
        <f t="shared" si="19"/>
        <v>0</v>
      </c>
      <c r="J33" s="459">
        <f t="shared" si="19"/>
        <v>228.37530755509499</v>
      </c>
      <c r="K33" s="459">
        <f t="shared" si="19"/>
        <v>0</v>
      </c>
      <c r="L33" s="459">
        <f t="shared" ca="1" si="19"/>
        <v>0</v>
      </c>
      <c r="M33" s="459">
        <f t="shared" si="19"/>
        <v>0</v>
      </c>
      <c r="N33" s="459">
        <f t="shared" ca="1" si="19"/>
        <v>0</v>
      </c>
      <c r="O33" s="459">
        <f t="shared" si="19"/>
        <v>0</v>
      </c>
      <c r="P33" s="459">
        <f t="shared" si="19"/>
        <v>0</v>
      </c>
      <c r="Q33" s="459">
        <f t="shared" ca="1" si="19"/>
        <v>24486.42290705963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662.13838154186317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662.13838154186317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0.21055645337864939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0.21055645337864939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0.21055645337864939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0.21055645337864939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1586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2594</v>
      </c>
      <c r="C14" s="326"/>
      <c r="D14" s="326"/>
      <c r="E14" s="326"/>
      <c r="F14" s="326"/>
    </row>
    <row r="15" spans="1:6">
      <c r="A15" s="1282" t="s">
        <v>183</v>
      </c>
      <c r="B15" s="1283">
        <v>18</v>
      </c>
      <c r="C15" s="326"/>
      <c r="D15" s="326"/>
      <c r="E15" s="326"/>
      <c r="F15" s="326"/>
    </row>
    <row r="16" spans="1:6">
      <c r="A16" s="1282" t="s">
        <v>6</v>
      </c>
      <c r="B16" s="1283">
        <v>622</v>
      </c>
      <c r="C16" s="326"/>
      <c r="D16" s="326"/>
      <c r="E16" s="326"/>
      <c r="F16" s="326"/>
    </row>
    <row r="17" spans="1:6">
      <c r="A17" s="1282" t="s">
        <v>7</v>
      </c>
      <c r="B17" s="1283">
        <v>864</v>
      </c>
      <c r="C17" s="326"/>
      <c r="D17" s="326"/>
      <c r="E17" s="326"/>
      <c r="F17" s="326"/>
    </row>
    <row r="18" spans="1:6">
      <c r="A18" s="1282" t="s">
        <v>8</v>
      </c>
      <c r="B18" s="1283">
        <v>1014</v>
      </c>
      <c r="C18" s="326"/>
      <c r="D18" s="326"/>
      <c r="E18" s="326"/>
      <c r="F18" s="326"/>
    </row>
    <row r="19" spans="1:6">
      <c r="A19" s="1282" t="s">
        <v>9</v>
      </c>
      <c r="B19" s="1283">
        <v>854</v>
      </c>
      <c r="C19" s="326"/>
      <c r="D19" s="326"/>
      <c r="E19" s="326"/>
      <c r="F19" s="326"/>
    </row>
    <row r="20" spans="1:6">
      <c r="A20" s="1282" t="s">
        <v>10</v>
      </c>
      <c r="B20" s="1283">
        <v>887</v>
      </c>
      <c r="C20" s="326"/>
      <c r="D20" s="326"/>
      <c r="E20" s="326"/>
      <c r="F20" s="326"/>
    </row>
    <row r="21" spans="1:6">
      <c r="A21" s="1282" t="s">
        <v>11</v>
      </c>
      <c r="B21" s="1283">
        <v>1591</v>
      </c>
      <c r="C21" s="326"/>
      <c r="D21" s="326"/>
      <c r="E21" s="326"/>
      <c r="F21" s="326"/>
    </row>
    <row r="22" spans="1:6">
      <c r="A22" s="1282" t="s">
        <v>12</v>
      </c>
      <c r="B22" s="1283">
        <v>6893</v>
      </c>
      <c r="C22" s="326"/>
      <c r="D22" s="326"/>
      <c r="E22" s="326"/>
      <c r="F22" s="326"/>
    </row>
    <row r="23" spans="1:6">
      <c r="A23" s="1282" t="s">
        <v>13</v>
      </c>
      <c r="B23" s="1283">
        <v>88</v>
      </c>
      <c r="C23" s="326"/>
      <c r="D23" s="326"/>
      <c r="E23" s="326"/>
      <c r="F23" s="326"/>
    </row>
    <row r="24" spans="1:6">
      <c r="A24" s="1282" t="s">
        <v>14</v>
      </c>
      <c r="B24" s="1283">
        <v>6</v>
      </c>
      <c r="C24" s="326"/>
      <c r="D24" s="326"/>
      <c r="E24" s="326"/>
      <c r="F24" s="326"/>
    </row>
    <row r="25" spans="1:6">
      <c r="A25" s="1282" t="s">
        <v>15</v>
      </c>
      <c r="B25" s="1283">
        <v>468</v>
      </c>
      <c r="C25" s="326"/>
      <c r="D25" s="326"/>
      <c r="E25" s="326"/>
      <c r="F25" s="326"/>
    </row>
    <row r="26" spans="1:6">
      <c r="A26" s="1282" t="s">
        <v>16</v>
      </c>
      <c r="B26" s="1283">
        <v>268</v>
      </c>
      <c r="C26" s="326"/>
      <c r="D26" s="326"/>
      <c r="E26" s="326"/>
      <c r="F26" s="326"/>
    </row>
    <row r="27" spans="1:6">
      <c r="A27" s="1282" t="s">
        <v>17</v>
      </c>
      <c r="B27" s="1283">
        <v>0</v>
      </c>
      <c r="C27" s="326"/>
      <c r="D27" s="326"/>
      <c r="E27" s="326"/>
      <c r="F27" s="326"/>
    </row>
    <row r="28" spans="1:6" s="43" customFormat="1">
      <c r="A28" s="1284" t="s">
        <v>18</v>
      </c>
      <c r="B28" s="1285">
        <v>148</v>
      </c>
      <c r="C28" s="332"/>
      <c r="D28" s="332"/>
      <c r="E28" s="332"/>
      <c r="F28" s="332"/>
    </row>
    <row r="29" spans="1:6">
      <c r="A29" s="1284" t="s">
        <v>978</v>
      </c>
      <c r="B29" s="1285">
        <v>34</v>
      </c>
      <c r="C29" s="332"/>
      <c r="D29" s="332"/>
      <c r="E29" s="332"/>
      <c r="F29" s="332"/>
    </row>
    <row r="30" spans="1:6">
      <c r="A30" s="1277" t="s">
        <v>979</v>
      </c>
      <c r="B30" s="1286">
        <v>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111</v>
      </c>
      <c r="D39" s="1283">
        <v>1799158</v>
      </c>
      <c r="E39" s="1283">
        <v>1537</v>
      </c>
      <c r="F39" s="1283">
        <v>8676458.5550381448</v>
      </c>
    </row>
    <row r="40" spans="1:6">
      <c r="A40" s="1282" t="s">
        <v>29</v>
      </c>
      <c r="B40" s="1282" t="s">
        <v>28</v>
      </c>
      <c r="C40" s="1283">
        <v>0</v>
      </c>
      <c r="D40" s="1283">
        <v>0</v>
      </c>
      <c r="E40" s="1283">
        <v>0</v>
      </c>
      <c r="F40" s="1283">
        <v>0</v>
      </c>
    </row>
    <row r="41" spans="1:6">
      <c r="A41" s="1282" t="s">
        <v>31</v>
      </c>
      <c r="B41" s="1282" t="s">
        <v>32</v>
      </c>
      <c r="C41" s="1283">
        <v>0</v>
      </c>
      <c r="D41" s="1283">
        <v>0</v>
      </c>
      <c r="E41" s="1283">
        <v>23</v>
      </c>
      <c r="F41" s="1283">
        <v>330933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38514</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v>
      </c>
      <c r="D48" s="1283">
        <v>32381</v>
      </c>
      <c r="E48" s="1283">
        <v>5</v>
      </c>
      <c r="F48" s="1283">
        <v>135800</v>
      </c>
    </row>
    <row r="49" spans="1:6">
      <c r="A49" s="1282" t="s">
        <v>31</v>
      </c>
      <c r="B49" s="1282" t="s">
        <v>39</v>
      </c>
      <c r="C49" s="1283">
        <v>0</v>
      </c>
      <c r="D49" s="1283">
        <v>0</v>
      </c>
      <c r="E49" s="1283">
        <v>0</v>
      </c>
      <c r="F49" s="1283">
        <v>0</v>
      </c>
    </row>
    <row r="50" spans="1:6">
      <c r="A50" s="1282" t="s">
        <v>31</v>
      </c>
      <c r="B50" s="1282" t="s">
        <v>40</v>
      </c>
      <c r="C50" s="1283">
        <v>0</v>
      </c>
      <c r="D50" s="1283">
        <v>0</v>
      </c>
      <c r="E50" s="1283">
        <v>0</v>
      </c>
      <c r="F50" s="1283">
        <v>0</v>
      </c>
    </row>
    <row r="51" spans="1:6">
      <c r="A51" s="1282" t="s">
        <v>41</v>
      </c>
      <c r="B51" s="1282" t="s">
        <v>42</v>
      </c>
      <c r="C51" s="1283">
        <v>0</v>
      </c>
      <c r="D51" s="1283">
        <v>0</v>
      </c>
      <c r="E51" s="1283">
        <v>57</v>
      </c>
      <c r="F51" s="1283">
        <v>1070319</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0</v>
      </c>
      <c r="F54" s="1283">
        <v>0</v>
      </c>
    </row>
    <row r="55" spans="1:6">
      <c r="A55" s="1282" t="s">
        <v>45</v>
      </c>
      <c r="B55" s="1282" t="s">
        <v>28</v>
      </c>
      <c r="C55" s="1283">
        <v>0</v>
      </c>
      <c r="D55" s="1283">
        <v>0</v>
      </c>
      <c r="E55" s="1283">
        <v>2</v>
      </c>
      <c r="F55" s="1283">
        <v>399872</v>
      </c>
    </row>
    <row r="56" spans="1:6">
      <c r="A56" s="1282" t="s">
        <v>47</v>
      </c>
      <c r="B56" s="1282" t="s">
        <v>28</v>
      </c>
      <c r="C56" s="1283">
        <v>1</v>
      </c>
      <c r="D56" s="1283">
        <v>14833</v>
      </c>
      <c r="E56" s="1283">
        <v>67</v>
      </c>
      <c r="F56" s="1283">
        <v>587997</v>
      </c>
    </row>
    <row r="57" spans="1:6">
      <c r="A57" s="1282" t="s">
        <v>48</v>
      </c>
      <c r="B57" s="1282" t="s">
        <v>49</v>
      </c>
      <c r="C57" s="1283">
        <v>0</v>
      </c>
      <c r="D57" s="1283">
        <v>0</v>
      </c>
      <c r="E57" s="1283">
        <v>13</v>
      </c>
      <c r="F57" s="1283">
        <v>190740</v>
      </c>
    </row>
    <row r="58" spans="1:6">
      <c r="A58" s="1282" t="s">
        <v>48</v>
      </c>
      <c r="B58" s="1282" t="s">
        <v>50</v>
      </c>
      <c r="C58" s="1283">
        <v>0</v>
      </c>
      <c r="D58" s="1283">
        <v>0</v>
      </c>
      <c r="E58" s="1283">
        <v>5</v>
      </c>
      <c r="F58" s="1283">
        <v>846009</v>
      </c>
    </row>
    <row r="59" spans="1:6">
      <c r="A59" s="1282" t="s">
        <v>48</v>
      </c>
      <c r="B59" s="1282" t="s">
        <v>51</v>
      </c>
      <c r="C59" s="1283">
        <v>0</v>
      </c>
      <c r="D59" s="1283">
        <v>0</v>
      </c>
      <c r="E59" s="1283">
        <v>28</v>
      </c>
      <c r="F59" s="1283">
        <v>541064</v>
      </c>
    </row>
    <row r="60" spans="1:6">
      <c r="A60" s="1282" t="s">
        <v>48</v>
      </c>
      <c r="B60" s="1282" t="s">
        <v>52</v>
      </c>
      <c r="C60" s="1283">
        <v>0</v>
      </c>
      <c r="D60" s="1283">
        <v>0</v>
      </c>
      <c r="E60" s="1283">
        <v>10</v>
      </c>
      <c r="F60" s="1283">
        <v>171133</v>
      </c>
    </row>
    <row r="61" spans="1:6">
      <c r="A61" s="1282" t="s">
        <v>48</v>
      </c>
      <c r="B61" s="1282" t="s">
        <v>53</v>
      </c>
      <c r="C61" s="1283">
        <v>0</v>
      </c>
      <c r="D61" s="1283">
        <v>0</v>
      </c>
      <c r="E61" s="1283">
        <v>57</v>
      </c>
      <c r="F61" s="1283">
        <v>379020</v>
      </c>
    </row>
    <row r="62" spans="1:6">
      <c r="A62" s="1282" t="s">
        <v>48</v>
      </c>
      <c r="B62" s="1282" t="s">
        <v>54</v>
      </c>
      <c r="C62" s="1283">
        <v>0</v>
      </c>
      <c r="D62" s="1283">
        <v>0</v>
      </c>
      <c r="E62" s="1283">
        <v>4</v>
      </c>
      <c r="F62" s="1283">
        <v>27911</v>
      </c>
    </row>
    <row r="63" spans="1:6">
      <c r="A63" s="1282" t="s">
        <v>48</v>
      </c>
      <c r="B63" s="1282" t="s">
        <v>28</v>
      </c>
      <c r="C63" s="1283">
        <v>5</v>
      </c>
      <c r="D63" s="1283">
        <v>159949</v>
      </c>
      <c r="E63" s="1283">
        <v>2</v>
      </c>
      <c r="F63" s="1283">
        <v>13360.3398155962</v>
      </c>
    </row>
    <row r="64" spans="1:6">
      <c r="A64" s="1282" t="s">
        <v>55</v>
      </c>
      <c r="B64" s="1282" t="s">
        <v>56</v>
      </c>
      <c r="C64" s="1283">
        <v>0</v>
      </c>
      <c r="D64" s="1283">
        <v>0</v>
      </c>
      <c r="E64" s="1283">
        <v>0</v>
      </c>
      <c r="F64" s="1283">
        <v>0</v>
      </c>
    </row>
    <row r="65" spans="1:6">
      <c r="A65" s="1282" t="s">
        <v>55</v>
      </c>
      <c r="B65" s="1282" t="s">
        <v>28</v>
      </c>
      <c r="C65" s="1283">
        <v>0</v>
      </c>
      <c r="D65" s="1283">
        <v>0</v>
      </c>
      <c r="E65" s="1283">
        <v>2</v>
      </c>
      <c r="F65" s="1283">
        <v>14579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33197938</v>
      </c>
      <c r="E73" s="447"/>
      <c r="F73" s="326"/>
    </row>
    <row r="74" spans="1:6">
      <c r="A74" s="1282" t="s">
        <v>63</v>
      </c>
      <c r="B74" s="1282" t="s">
        <v>760</v>
      </c>
      <c r="C74" s="1296" t="s">
        <v>761</v>
      </c>
      <c r="D74" s="1297">
        <v>1679478.278843689</v>
      </c>
      <c r="E74" s="447"/>
      <c r="F74" s="326"/>
    </row>
    <row r="75" spans="1:6">
      <c r="A75" s="1282" t="s">
        <v>64</v>
      </c>
      <c r="B75" s="1282" t="s">
        <v>758</v>
      </c>
      <c r="C75" s="1296" t="s">
        <v>762</v>
      </c>
      <c r="D75" s="1297">
        <v>23740109</v>
      </c>
      <c r="E75" s="447"/>
      <c r="F75" s="326"/>
    </row>
    <row r="76" spans="1:6">
      <c r="A76" s="1282" t="s">
        <v>64</v>
      </c>
      <c r="B76" s="1282" t="s">
        <v>760</v>
      </c>
      <c r="C76" s="1296" t="s">
        <v>763</v>
      </c>
      <c r="D76" s="1297">
        <v>766561.27884368889</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344107.44231262215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596.24153350285678</v>
      </c>
      <c r="C91" s="326"/>
      <c r="D91" s="326"/>
      <c r="E91" s="326"/>
      <c r="F91" s="326"/>
    </row>
    <row r="92" spans="1:6">
      <c r="A92" s="1277" t="s">
        <v>68</v>
      </c>
      <c r="B92" s="1278">
        <v>65.8968480390064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v>
      </c>
      <c r="C97" s="326"/>
      <c r="D97" s="326"/>
      <c r="E97" s="326"/>
      <c r="F97" s="326"/>
    </row>
    <row r="98" spans="1:6">
      <c r="A98" s="1282" t="s">
        <v>71</v>
      </c>
      <c r="B98" s="1283">
        <v>0</v>
      </c>
      <c r="C98" s="326"/>
      <c r="D98" s="326"/>
      <c r="E98" s="326"/>
      <c r="F98" s="326"/>
    </row>
    <row r="99" spans="1:6">
      <c r="A99" s="1282" t="s">
        <v>72</v>
      </c>
      <c r="B99" s="1283">
        <v>51</v>
      </c>
      <c r="C99" s="326"/>
      <c r="D99" s="326"/>
      <c r="E99" s="326"/>
      <c r="F99" s="326"/>
    </row>
    <row r="100" spans="1:6">
      <c r="A100" s="1282" t="s">
        <v>73</v>
      </c>
      <c r="B100" s="1283">
        <v>148</v>
      </c>
      <c r="C100" s="326"/>
      <c r="D100" s="326"/>
      <c r="E100" s="326"/>
      <c r="F100" s="326"/>
    </row>
    <row r="101" spans="1:6">
      <c r="A101" s="1282" t="s">
        <v>74</v>
      </c>
      <c r="B101" s="1283">
        <v>49</v>
      </c>
      <c r="C101" s="326"/>
      <c r="D101" s="326"/>
      <c r="E101" s="326"/>
      <c r="F101" s="326"/>
    </row>
    <row r="102" spans="1:6">
      <c r="A102" s="1282" t="s">
        <v>75</v>
      </c>
      <c r="B102" s="1283">
        <v>22</v>
      </c>
      <c r="C102" s="326"/>
      <c r="D102" s="326"/>
      <c r="E102" s="326"/>
      <c r="F102" s="326"/>
    </row>
    <row r="103" spans="1:6">
      <c r="A103" s="1282" t="s">
        <v>76</v>
      </c>
      <c r="B103" s="1283">
        <v>94</v>
      </c>
      <c r="C103" s="326"/>
      <c r="D103" s="326"/>
      <c r="E103" s="326"/>
      <c r="F103" s="326"/>
    </row>
    <row r="104" spans="1:6">
      <c r="A104" s="1282" t="s">
        <v>77</v>
      </c>
      <c r="B104" s="1283">
        <v>1072</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10</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14011.770869255448</v>
      </c>
      <c r="C3" s="43" t="s">
        <v>169</v>
      </c>
      <c r="D3" s="43"/>
      <c r="E3" s="156"/>
      <c r="F3" s="43"/>
      <c r="G3" s="43"/>
      <c r="H3" s="43"/>
      <c r="I3" s="43"/>
      <c r="J3" s="43"/>
      <c r="K3" s="96"/>
    </row>
    <row r="4" spans="1:11">
      <c r="A4" s="354" t="s">
        <v>170</v>
      </c>
      <c r="B4" s="49">
        <f>IF(ISERROR('SEAP template'!B78+'SEAP template'!C78),0,'SEAP template'!B78+'SEAP template'!C78)</f>
        <v>662.13838154186317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0.21055645337864939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399.87200000000001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399.87200000000001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0.21055645337864939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84.1956301254273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8676.4585550381453</v>
      </c>
      <c r="C5" s="17">
        <f>IF(ISERROR('Eigen informatie GS &amp; warmtenet'!B57),0,'Eigen informatie GS &amp; warmtenet'!B57)</f>
        <v>0</v>
      </c>
      <c r="D5" s="30">
        <f>(SUM(HH_hh_gas_kWh,HH_rest_gas_kWh)/1000)*0.902</f>
        <v>1622.840516</v>
      </c>
      <c r="E5" s="17">
        <f>B32*B41</f>
        <v>712.70589997477907</v>
      </c>
      <c r="F5" s="17">
        <f>B36*B45</f>
        <v>24327.785165758421</v>
      </c>
      <c r="G5" s="18"/>
      <c r="H5" s="17"/>
      <c r="I5" s="17"/>
      <c r="J5" s="17">
        <f>B35*B44+C35*C44</f>
        <v>547.80004401095846</v>
      </c>
      <c r="K5" s="17"/>
      <c r="L5" s="17"/>
      <c r="M5" s="17"/>
      <c r="N5" s="17">
        <f>B34*B43+C34*C43</f>
        <v>2202.0047369931603</v>
      </c>
      <c r="O5" s="17">
        <f>B52*B53*B54</f>
        <v>17.196666666666669</v>
      </c>
      <c r="P5" s="17">
        <f>B60*B61*B62/1000-B60*B61*B62/1000/B63</f>
        <v>76.266666666666666</v>
      </c>
    </row>
    <row r="6" spans="1:16">
      <c r="A6" s="16" t="s">
        <v>621</v>
      </c>
      <c r="B6" s="768">
        <f>kWh_PV_kleiner_dan_10kW</f>
        <v>596.24153350285678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9272.7000885410016</v>
      </c>
      <c r="C8" s="21">
        <f>C5</f>
        <v>0</v>
      </c>
      <c r="D8" s="21">
        <f>D5</f>
        <v>1622.840516</v>
      </c>
      <c r="E8" s="21">
        <f>E5</f>
        <v>712.70589997477907</v>
      </c>
      <c r="F8" s="21">
        <f>F5</f>
        <v>24327.785165758421</v>
      </c>
      <c r="G8" s="21"/>
      <c r="H8" s="21"/>
      <c r="I8" s="21"/>
      <c r="J8" s="21">
        <f>J5</f>
        <v>547.80004401095846</v>
      </c>
      <c r="K8" s="21"/>
      <c r="L8" s="21">
        <f>L5</f>
        <v>0</v>
      </c>
      <c r="M8" s="21">
        <f>M5</f>
        <v>0</v>
      </c>
      <c r="N8" s="21">
        <f>N5</f>
        <v>2202.0047369931603</v>
      </c>
      <c r="O8" s="21">
        <f>O5</f>
        <v>17.196666666666669</v>
      </c>
      <c r="P8" s="21">
        <f>P5</f>
        <v>76.266666666666666</v>
      </c>
    </row>
    <row r="9" spans="1:16">
      <c r="B9" s="19"/>
      <c r="C9" s="19"/>
      <c r="D9" s="256"/>
      <c r="E9" s="19"/>
      <c r="F9" s="19"/>
      <c r="G9" s="19"/>
      <c r="H9" s="19"/>
      <c r="I9" s="19"/>
      <c r="J9" s="19"/>
      <c r="K9" s="19"/>
      <c r="L9" s="19"/>
      <c r="M9" s="19"/>
      <c r="N9" s="19"/>
      <c r="O9" s="19"/>
      <c r="P9" s="19"/>
    </row>
    <row r="10" spans="1:16">
      <c r="A10" s="24" t="s">
        <v>213</v>
      </c>
      <c r="B10" s="25">
        <f ca="1">'EF ele_warmte'!B12</f>
        <v>0.21055645337864939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1952.4268438870815</v>
      </c>
      <c r="C12" s="23">
        <f ca="1">C10*C8</f>
        <v>0</v>
      </c>
      <c r="D12" s="23">
        <f>D8*D10</f>
        <v>327.81378423199999</v>
      </c>
      <c r="E12" s="23">
        <f>E10*E8</f>
        <v>161.78423929427484</v>
      </c>
      <c r="F12" s="23">
        <f>F10*F8</f>
        <v>6495.5186392574988</v>
      </c>
      <c r="G12" s="23"/>
      <c r="H12" s="23"/>
      <c r="I12" s="23"/>
      <c r="J12" s="23">
        <f>J10*J8</f>
        <v>193.92121557987929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1586</v>
      </c>
      <c r="C26" s="36"/>
      <c r="D26" s="226"/>
    </row>
    <row r="27" spans="1:5" s="15" customFormat="1">
      <c r="A27" s="228" t="s">
        <v>701</v>
      </c>
      <c r="B27" s="37">
        <f>SUM(HH_hh_gas_aantal,HH_rest_gas_aantal)</f>
        <v>111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105.45</v>
      </c>
      <c r="C31" s="34" t="s">
        <v>110</v>
      </c>
      <c r="D31" s="172"/>
    </row>
    <row r="32" spans="1:5">
      <c r="A32" s="169" t="s">
        <v>72</v>
      </c>
      <c r="B32" s="33">
        <f>IF((B21*($B$26-($B$27-0.05*$B$27)-$B$60))&lt;0,0,B21*($B$26-($B$27-0.05*$B$27)-$B$60))</f>
        <v>10.468102592103392</v>
      </c>
      <c r="C32" s="34" t="s">
        <v>110</v>
      </c>
      <c r="D32" s="172"/>
    </row>
    <row r="33" spans="1:6">
      <c r="A33" s="169" t="s">
        <v>73</v>
      </c>
      <c r="B33" s="33">
        <f>IF((B22*($B$26-($B$27-0.05*$B$27)-$B$60))&lt;0,0,B22*($B$26-($B$27-0.05*$B$27)-$B$60))</f>
        <v>300.01439605803807</v>
      </c>
      <c r="C33" s="34" t="s">
        <v>110</v>
      </c>
      <c r="D33" s="172"/>
    </row>
    <row r="34" spans="1:6">
      <c r="A34" s="169" t="s">
        <v>74</v>
      </c>
      <c r="B34" s="33">
        <f>IF((B24*($B$26-($B$27-0.05*$B$27)-$B$60))&lt;0,0,B24*($B$26-($B$27-0.05*$B$27)-$B$60))</f>
        <v>59.826041221846147</v>
      </c>
      <c r="C34" s="33">
        <f>B26*C24</f>
        <v>324.30149696177875</v>
      </c>
      <c r="D34" s="231"/>
    </row>
    <row r="35" spans="1:6">
      <c r="A35" s="169" t="s">
        <v>76</v>
      </c>
      <c r="B35" s="33">
        <f>IF((B19*($B$26-($B$27-0.05*$B$27)-$B$60))&lt;0,0,B19*($B$26-($B$27-0.05*$B$27)-$B$60))</f>
        <v>31.155067238402957</v>
      </c>
      <c r="C35" s="33">
        <f>B35/2</f>
        <v>15.577533619201478</v>
      </c>
      <c r="D35" s="231"/>
    </row>
    <row r="36" spans="1:6">
      <c r="A36" s="169" t="s">
        <v>77</v>
      </c>
      <c r="B36" s="33">
        <f>IF((B18*($B$26-($B$27-0.05*$B$27)-$B$60))&lt;0,0,B18*($B$26-($B$27-0.05*$B$27)-$B$60))</f>
        <v>1075.0863928896094</v>
      </c>
      <c r="C36" s="34" t="s">
        <v>110</v>
      </c>
      <c r="D36" s="172"/>
    </row>
    <row r="37" spans="1:6">
      <c r="A37" s="169" t="s">
        <v>78</v>
      </c>
      <c r="B37" s="33">
        <f>B60</f>
        <v>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2169.2373398155964</v>
      </c>
      <c r="C5" s="17">
        <f>IF(ISERROR('Eigen informatie GS &amp; warmtenet'!B58),0,'Eigen informatie GS &amp; warmtenet'!B58)</f>
        <v>0</v>
      </c>
      <c r="D5" s="30">
        <f>SUM(D6:D12)</f>
        <v>144.27399800000001</v>
      </c>
      <c r="E5" s="17">
        <f>SUM(E6:E12)</f>
        <v>27.520365300119199</v>
      </c>
      <c r="F5" s="17">
        <f>SUM(F6:F12)</f>
        <v>452.46542523484118</v>
      </c>
      <c r="G5" s="18"/>
      <c r="H5" s="17"/>
      <c r="I5" s="17"/>
      <c r="J5" s="17">
        <f>SUM(J6:J12)</f>
        <v>0</v>
      </c>
      <c r="K5" s="17"/>
      <c r="L5" s="17"/>
      <c r="M5" s="17"/>
      <c r="N5" s="17">
        <f>SUM(N6:N12)</f>
        <v>54.91702438268949</v>
      </c>
      <c r="O5" s="17">
        <f>B38*B39*B40</f>
        <v>1.5633333333333335</v>
      </c>
      <c r="P5" s="17">
        <f>B46*B47*B48/1000-B46*B47*B48/1000/B49</f>
        <v>0</v>
      </c>
      <c r="R5" s="32"/>
    </row>
    <row r="6" spans="1:18">
      <c r="A6" s="32" t="s">
        <v>53</v>
      </c>
      <c r="B6" s="37">
        <f>B26</f>
        <v>379.02</v>
      </c>
      <c r="C6" s="33"/>
      <c r="D6" s="37">
        <f>IF(ISERROR(TER_kantoor_gas_kWh/1000),0,TER_kantoor_gas_kWh/1000)*0.902</f>
        <v>0</v>
      </c>
      <c r="E6" s="33">
        <f>$C$26*'E Balans VL '!I12/100/3.6*1000000</f>
        <v>13.26719096864969</v>
      </c>
      <c r="F6" s="33">
        <f>$C$26*('E Balans VL '!L12+'E Balans VL '!N12)/100/3.6*1000000</f>
        <v>57.467569479660007</v>
      </c>
      <c r="G6" s="34"/>
      <c r="H6" s="33"/>
      <c r="I6" s="33"/>
      <c r="J6" s="33">
        <f>$C$26*('E Balans VL '!D12+'E Balans VL '!E12)/100/3.6*1000000</f>
        <v>0</v>
      </c>
      <c r="K6" s="33"/>
      <c r="L6" s="33"/>
      <c r="M6" s="33"/>
      <c r="N6" s="33">
        <f>$C$26*'E Balans VL '!Y12/100/3.6*1000000</f>
        <v>2.9297059700048438</v>
      </c>
      <c r="O6" s="33"/>
      <c r="P6" s="33"/>
      <c r="R6" s="32"/>
    </row>
    <row r="7" spans="1:18">
      <c r="A7" s="32" t="s">
        <v>52</v>
      </c>
      <c r="B7" s="37">
        <f t="shared" ref="B7:B12" si="0">B27</f>
        <v>171.13300000000001</v>
      </c>
      <c r="C7" s="33"/>
      <c r="D7" s="37">
        <f>IF(ISERROR(TER_horeca_gas_kWh/1000),0,TER_horeca_gas_kWh/1000)*0.902</f>
        <v>0</v>
      </c>
      <c r="E7" s="33">
        <f>$C$27*'E Balans VL '!I9/100/3.6*1000000</f>
        <v>9.6541767147182629</v>
      </c>
      <c r="F7" s="33">
        <f>$C$27*('E Balans VL '!L9+'E Balans VL '!N9)/100/3.6*1000000</f>
        <v>29.812315662181707</v>
      </c>
      <c r="G7" s="34"/>
      <c r="H7" s="33"/>
      <c r="I7" s="33"/>
      <c r="J7" s="33">
        <f>$C$27*('E Balans VL '!D9+'E Balans VL '!E9)/100/3.6*1000000</f>
        <v>0</v>
      </c>
      <c r="K7" s="33"/>
      <c r="L7" s="33"/>
      <c r="M7" s="33"/>
      <c r="N7" s="33">
        <f>$C$27*'E Balans VL '!Y9/100/3.6*1000000</f>
        <v>0</v>
      </c>
      <c r="O7" s="33"/>
      <c r="P7" s="33"/>
      <c r="R7" s="32"/>
    </row>
    <row r="8" spans="1:18">
      <c r="A8" s="6" t="s">
        <v>51</v>
      </c>
      <c r="B8" s="37">
        <f t="shared" si="0"/>
        <v>541.06399999999996</v>
      </c>
      <c r="C8" s="33"/>
      <c r="D8" s="37">
        <f>IF(ISERROR(TER_handel_gas_kWh/1000),0,TER_handel_gas_kWh/1000)*0.902</f>
        <v>0</v>
      </c>
      <c r="E8" s="33">
        <f>$C$28*'E Balans VL '!I13/100/3.6*1000000</f>
        <v>2.7777676046948687</v>
      </c>
      <c r="F8" s="33">
        <f>$C$28*('E Balans VL '!L13+'E Balans VL '!N13)/100/3.6*1000000</f>
        <v>83.42370850297803</v>
      </c>
      <c r="G8" s="34"/>
      <c r="H8" s="33"/>
      <c r="I8" s="33"/>
      <c r="J8" s="33">
        <f>$C$28*('E Balans VL '!D13+'E Balans VL '!E13)/100/3.6*1000000</f>
        <v>0</v>
      </c>
      <c r="K8" s="33"/>
      <c r="L8" s="33"/>
      <c r="M8" s="33"/>
      <c r="N8" s="33">
        <f>$C$28*'E Balans VL '!Y13/100/3.6*1000000</f>
        <v>0.25306223737512051</v>
      </c>
      <c r="O8" s="33"/>
      <c r="P8" s="33"/>
      <c r="R8" s="32"/>
    </row>
    <row r="9" spans="1:18">
      <c r="A9" s="32" t="s">
        <v>50</v>
      </c>
      <c r="B9" s="37">
        <f t="shared" si="0"/>
        <v>846.00900000000001</v>
      </c>
      <c r="C9" s="33"/>
      <c r="D9" s="37">
        <f>IF(ISERROR(TER_gezond_gas_kWh/1000),0,TER_gezond_gas_kWh/1000)*0.902</f>
        <v>0</v>
      </c>
      <c r="E9" s="33">
        <f>$C$29*'E Balans VL '!I10/100/3.6*1000000</f>
        <v>0.35066470543983885</v>
      </c>
      <c r="F9" s="33">
        <f>$C$29*('E Balans VL '!L10+'E Balans VL '!N10)/100/3.6*1000000</f>
        <v>208.35988331243678</v>
      </c>
      <c r="G9" s="34"/>
      <c r="H9" s="33"/>
      <c r="I9" s="33"/>
      <c r="J9" s="33">
        <f>$C$29*('E Balans VL '!D10+'E Balans VL '!E10)/100/3.6*1000000</f>
        <v>0</v>
      </c>
      <c r="K9" s="33"/>
      <c r="L9" s="33"/>
      <c r="M9" s="33"/>
      <c r="N9" s="33">
        <f>$C$29*'E Balans VL '!Y10/100/3.6*1000000</f>
        <v>7.3116117381258228</v>
      </c>
      <c r="O9" s="33"/>
      <c r="P9" s="33"/>
      <c r="R9" s="32"/>
    </row>
    <row r="10" spans="1:18">
      <c r="A10" s="32" t="s">
        <v>49</v>
      </c>
      <c r="B10" s="37">
        <f t="shared" si="0"/>
        <v>190.74</v>
      </c>
      <c r="C10" s="33"/>
      <c r="D10" s="37">
        <f>IF(ISERROR(TER_ander_gas_kWh/1000),0,TER_ander_gas_kWh/1000)*0.902</f>
        <v>0</v>
      </c>
      <c r="E10" s="33">
        <f>$C$30*'E Balans VL '!I14/100/3.6*1000000</f>
        <v>1.1627557460703124</v>
      </c>
      <c r="F10" s="33">
        <f>$C$30*('E Balans VL '!L14+'E Balans VL '!N14)/100/3.6*1000000</f>
        <v>50.567786841612524</v>
      </c>
      <c r="G10" s="34"/>
      <c r="H10" s="33"/>
      <c r="I10" s="33"/>
      <c r="J10" s="33">
        <f>$C$30*('E Balans VL '!D14+'E Balans VL '!E14)/100/3.6*1000000</f>
        <v>0</v>
      </c>
      <c r="K10" s="33"/>
      <c r="L10" s="33"/>
      <c r="M10" s="33"/>
      <c r="N10" s="33">
        <f>$C$30*'E Balans VL '!Y14/100/3.6*1000000</f>
        <v>43.961448411966281</v>
      </c>
      <c r="O10" s="33"/>
      <c r="P10" s="33"/>
      <c r="R10" s="32"/>
    </row>
    <row r="11" spans="1:18">
      <c r="A11" s="32" t="s">
        <v>54</v>
      </c>
      <c r="B11" s="37">
        <f t="shared" si="0"/>
        <v>27.911000000000001</v>
      </c>
      <c r="C11" s="33"/>
      <c r="D11" s="37">
        <f>IF(ISERROR(TER_onderwijs_gas_kWh/1000),0,TER_onderwijs_gas_kWh/1000)*0.902</f>
        <v>0</v>
      </c>
      <c r="E11" s="33">
        <f>$C$31*'E Balans VL '!I11/100/3.6*1000000</f>
        <v>2.1269635341123579E-2</v>
      </c>
      <c r="F11" s="33">
        <f>$C$31*('E Balans VL '!L11+'E Balans VL '!N11)/100/3.6*1000000</f>
        <v>20.197929186442767</v>
      </c>
      <c r="G11" s="34"/>
      <c r="H11" s="33"/>
      <c r="I11" s="33"/>
      <c r="J11" s="33">
        <f>$C$31*('E Balans VL '!D11+'E Balans VL '!E11)/100/3.6*1000000</f>
        <v>0</v>
      </c>
      <c r="K11" s="33"/>
      <c r="L11" s="33"/>
      <c r="M11" s="33"/>
      <c r="N11" s="33">
        <f>$C$31*'E Balans VL '!Y11/100/3.6*1000000</f>
        <v>8.2260387607448415E-2</v>
      </c>
      <c r="O11" s="33"/>
      <c r="P11" s="33"/>
      <c r="R11" s="32"/>
    </row>
    <row r="12" spans="1:18">
      <c r="A12" s="32" t="s">
        <v>255</v>
      </c>
      <c r="B12" s="37">
        <f t="shared" si="0"/>
        <v>13.3603398155962</v>
      </c>
      <c r="C12" s="33"/>
      <c r="D12" s="37">
        <f>IF(ISERROR(TER_rest_gas_kWh/1000),0,TER_rest_gas_kWh/1000)*0.902</f>
        <v>144.27399800000001</v>
      </c>
      <c r="E12" s="33">
        <f>$C$32*'E Balans VL '!I8/100/3.6*1000000</f>
        <v>0.28653992520509869</v>
      </c>
      <c r="F12" s="33">
        <f>$C$32*('E Balans VL '!L8+'E Balans VL '!N8)/100/3.6*1000000</f>
        <v>2.6362322495293671</v>
      </c>
      <c r="G12" s="34"/>
      <c r="H12" s="33"/>
      <c r="I12" s="33"/>
      <c r="J12" s="33">
        <f>$C$32*('E Balans VL '!D8+'E Balans VL '!E8)/100/3.6*1000000</f>
        <v>0</v>
      </c>
      <c r="K12" s="33"/>
      <c r="L12" s="33"/>
      <c r="M12" s="33"/>
      <c r="N12" s="33">
        <f>$C$32*'E Balans VL '!Y8/100/3.6*1000000</f>
        <v>0.37893563760996718</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2169.2373398155964</v>
      </c>
      <c r="C16" s="21">
        <f ca="1">C5+C13+C14</f>
        <v>0</v>
      </c>
      <c r="D16" s="21">
        <f t="shared" ref="D16:N16" ca="1" si="1">MAX((D5+D13+D14),0)</f>
        <v>144.27399800000001</v>
      </c>
      <c r="E16" s="21">
        <f t="shared" si="1"/>
        <v>27.520365300119199</v>
      </c>
      <c r="F16" s="21">
        <f t="shared" ca="1" si="1"/>
        <v>452.46542523484118</v>
      </c>
      <c r="G16" s="21">
        <f t="shared" si="1"/>
        <v>0</v>
      </c>
      <c r="H16" s="21">
        <f t="shared" si="1"/>
        <v>0</v>
      </c>
      <c r="I16" s="21">
        <f t="shared" si="1"/>
        <v>0</v>
      </c>
      <c r="J16" s="21">
        <f t="shared" si="1"/>
        <v>0</v>
      </c>
      <c r="K16" s="21">
        <f t="shared" si="1"/>
        <v>0</v>
      </c>
      <c r="L16" s="21">
        <f t="shared" ca="1" si="1"/>
        <v>0</v>
      </c>
      <c r="M16" s="21">
        <f t="shared" si="1"/>
        <v>0</v>
      </c>
      <c r="N16" s="21">
        <f t="shared" ca="1" si="1"/>
        <v>54.91702438268949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0.21055645337864939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456.74692080810809</v>
      </c>
      <c r="C20" s="23">
        <f t="shared" ref="C20:P20" ca="1" si="2">C16*C18</f>
        <v>0</v>
      </c>
      <c r="D20" s="23">
        <f t="shared" ca="1" si="2"/>
        <v>29.143347596000002</v>
      </c>
      <c r="E20" s="23">
        <f t="shared" si="2"/>
        <v>6.2471229231270584</v>
      </c>
      <c r="F20" s="23">
        <f t="shared" ca="1" si="2"/>
        <v>120.8082685377026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379.02</v>
      </c>
      <c r="C26" s="39">
        <f>IF(ISERROR(B26*3.6/1000000/'E Balans VL '!Z12*100),0,B26*3.6/1000000/'E Balans VL '!Z12*100)</f>
        <v>7.9758473426430297E-3</v>
      </c>
      <c r="D26" s="234" t="s">
        <v>706</v>
      </c>
      <c r="F26" s="6"/>
    </row>
    <row r="27" spans="1:18">
      <c r="A27" s="229" t="s">
        <v>52</v>
      </c>
      <c r="B27" s="33">
        <f>IF(ISERROR(TER_horeca_ele_kWh/1000),0,TER_horeca_ele_kWh/1000)</f>
        <v>171.13300000000001</v>
      </c>
      <c r="C27" s="39">
        <f>IF(ISERROR(B27*3.6/1000000/'E Balans VL '!Z9*100),0,B27*3.6/1000000/'E Balans VL '!Z9*100)</f>
        <v>1.4489350230723242E-2</v>
      </c>
      <c r="D27" s="234" t="s">
        <v>706</v>
      </c>
      <c r="F27" s="6"/>
    </row>
    <row r="28" spans="1:18">
      <c r="A28" s="169" t="s">
        <v>51</v>
      </c>
      <c r="B28" s="33">
        <f>IF(ISERROR(TER_handel_ele_kWh/1000),0,TER_handel_ele_kWh/1000)</f>
        <v>541.06399999999996</v>
      </c>
      <c r="C28" s="39">
        <f>IF(ISERROR(B28*3.6/1000000/'E Balans VL '!Z13*100),0,B28*3.6/1000000/'E Balans VL '!Z13*100)</f>
        <v>1.4979282022186411E-2</v>
      </c>
      <c r="D28" s="234" t="s">
        <v>706</v>
      </c>
      <c r="F28" s="6"/>
    </row>
    <row r="29" spans="1:18">
      <c r="A29" s="229" t="s">
        <v>50</v>
      </c>
      <c r="B29" s="33">
        <f>IF(ISERROR(TER_gezond_ele_kWh/1000),0,TER_gezond_ele_kWh/1000)</f>
        <v>846.00900000000001</v>
      </c>
      <c r="C29" s="39">
        <f>IF(ISERROR(B29*3.6/1000000/'E Balans VL '!Z10*100),0,B29*3.6/1000000/'E Balans VL '!Z10*100)</f>
        <v>0.10997179089672797</v>
      </c>
      <c r="D29" s="234" t="s">
        <v>706</v>
      </c>
      <c r="F29" s="6"/>
    </row>
    <row r="30" spans="1:18">
      <c r="A30" s="229" t="s">
        <v>49</v>
      </c>
      <c r="B30" s="33">
        <f>IF(ISERROR(TER_ander_ele_kWh/1000),0,TER_ander_ele_kWh/1000)</f>
        <v>190.74</v>
      </c>
      <c r="C30" s="39">
        <f>IF(ISERROR(B30*3.6/1000000/'E Balans VL '!Z14*100),0,B30*3.6/1000000/'E Balans VL '!Z14*100)</f>
        <v>1.4784099219424657E-2</v>
      </c>
      <c r="D30" s="234" t="s">
        <v>706</v>
      </c>
      <c r="F30" s="6"/>
    </row>
    <row r="31" spans="1:18">
      <c r="A31" s="229" t="s">
        <v>54</v>
      </c>
      <c r="B31" s="33">
        <f>IF(ISERROR(TER_onderwijs_ele_kWh/1000),0,TER_onderwijs_ele_kWh/1000)</f>
        <v>27.911000000000001</v>
      </c>
      <c r="C31" s="39">
        <f>IF(ISERROR(B31*3.6/1000000/'E Balans VL '!Z11*100),0,B31*3.6/1000000/'E Balans VL '!Z11*100)</f>
        <v>5.3398498933754247E-3</v>
      </c>
      <c r="D31" s="234" t="s">
        <v>706</v>
      </c>
    </row>
    <row r="32" spans="1:18">
      <c r="A32" s="229" t="s">
        <v>255</v>
      </c>
      <c r="B32" s="33">
        <f>IF(ISERROR(TER_rest_ele_kWh/1000),0,TER_rest_ele_kWh/1000)</f>
        <v>13.3603398155962</v>
      </c>
      <c r="C32" s="39">
        <f>IF(ISERROR(B32*3.6/1000000/'E Balans VL '!Z8*100),0,B32*3.6/1000000/'E Balans VL '!Z8*100)</f>
        <v>1.1016626139246529E-4</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505.24700000000001</v>
      </c>
      <c r="C5" s="17">
        <f>IF(ISERROR('Eigen informatie GS &amp; warmtenet'!B59),0,'Eigen informatie GS &amp; warmtenet'!B59)</f>
        <v>0</v>
      </c>
      <c r="D5" s="30">
        <f>SUM(D6:D15)</f>
        <v>29.207662000000003</v>
      </c>
      <c r="E5" s="17">
        <f>SUM(E6:E15)</f>
        <v>7.0546174047340058</v>
      </c>
      <c r="F5" s="17">
        <f>SUM(F6:F15)</f>
        <v>290.08069318829087</v>
      </c>
      <c r="G5" s="18"/>
      <c r="H5" s="17"/>
      <c r="I5" s="17"/>
      <c r="J5" s="17">
        <f>SUM(J6:J15)</f>
        <v>1.7388632999550571</v>
      </c>
      <c r="K5" s="17"/>
      <c r="L5" s="17"/>
      <c r="M5" s="17"/>
      <c r="N5" s="17">
        <f>SUM(N6:N15)</f>
        <v>27.115635268907251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38.514000000000003</v>
      </c>
      <c r="C8" s="33"/>
      <c r="D8" s="37">
        <f>IF( ISERROR(IND_metaal_Gas_kWH/1000),0,IND_metaal_Gas_kWH/1000)*0.902</f>
        <v>0</v>
      </c>
      <c r="E8" s="33">
        <f>C30*'E Balans VL '!I18/100/3.6*1000000</f>
        <v>0.27062938027135919</v>
      </c>
      <c r="F8" s="33">
        <f>C30*'E Balans VL '!L18/100/3.6*1000000+C30*'E Balans VL '!N18/100/3.6*1000000</f>
        <v>4.2286118709211884</v>
      </c>
      <c r="G8" s="34"/>
      <c r="H8" s="33"/>
      <c r="I8" s="33"/>
      <c r="J8" s="40">
        <f>C30*'E Balans VL '!D18/100/3.6*1000000+C30*'E Balans VL '!E18/100/3.6*1000000</f>
        <v>0.7946268327587227</v>
      </c>
      <c r="K8" s="33"/>
      <c r="L8" s="33"/>
      <c r="M8" s="33"/>
      <c r="N8" s="33">
        <f>C30*'E Balans VL '!Y18/100/3.6*1000000</f>
        <v>0.14435324577530481</v>
      </c>
      <c r="O8" s="33"/>
      <c r="P8" s="33"/>
      <c r="R8" s="32"/>
    </row>
    <row r="9" spans="1:18">
      <c r="A9" s="6" t="s">
        <v>32</v>
      </c>
      <c r="B9" s="37">
        <f t="shared" si="0"/>
        <v>330.93299999999999</v>
      </c>
      <c r="C9" s="33"/>
      <c r="D9" s="37">
        <f>IF( ISERROR(IND_andere_gas_kWh/1000),0,IND_andere_gas_kWh/1000)*0.902</f>
        <v>0</v>
      </c>
      <c r="E9" s="33">
        <f>C31*'E Balans VL '!I19/100/3.6*1000000</f>
        <v>5.5584251408688887</v>
      </c>
      <c r="F9" s="33">
        <f>C31*'E Balans VL '!L19/100/3.6*1000000+C31*'E Balans VL '!N19/100/3.6*1000000</f>
        <v>258.70457086369453</v>
      </c>
      <c r="G9" s="34"/>
      <c r="H9" s="33"/>
      <c r="I9" s="33"/>
      <c r="J9" s="40">
        <f>C31*'E Balans VL '!D19/100/3.6*1000000+C31*'E Balans VL '!E19/100/3.6*1000000</f>
        <v>2.9847235327028352E-2</v>
      </c>
      <c r="K9" s="33"/>
      <c r="L9" s="33"/>
      <c r="M9" s="33"/>
      <c r="N9" s="33">
        <f>C31*'E Balans VL '!Y19/100/3.6*1000000</f>
        <v>24.527444652564107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135.80000000000001</v>
      </c>
      <c r="C15" s="33"/>
      <c r="D15" s="37">
        <f>IF( ISERROR(IND_rest_gas_kWh/1000),0,IND_rest_gas_kWh/1000)*0.902</f>
        <v>29.207662000000003</v>
      </c>
      <c r="E15" s="33">
        <f>C37*'E Balans VL '!I15/100/3.6*1000000</f>
        <v>1.225562883593758</v>
      </c>
      <c r="F15" s="33">
        <f>C37*'E Balans VL '!L15/100/3.6*1000000+C37*'E Balans VL '!N15/100/3.6*1000000</f>
        <v>27.147510453675121</v>
      </c>
      <c r="G15" s="34"/>
      <c r="H15" s="33"/>
      <c r="I15" s="33"/>
      <c r="J15" s="40">
        <f>C37*'E Balans VL '!D15/100/3.6*1000000+C37*'E Balans VL '!E15/100/3.6*1000000</f>
        <v>0.91438923186930587</v>
      </c>
      <c r="K15" s="33"/>
      <c r="L15" s="33"/>
      <c r="M15" s="33"/>
      <c r="N15" s="33">
        <f>C37*'E Balans VL '!Y15/100/3.6*1000000</f>
        <v>2.4438373705678385</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505.24700000000001</v>
      </c>
      <c r="C18" s="21">
        <f>C5+C16</f>
        <v>0</v>
      </c>
      <c r="D18" s="21">
        <f>MAX((D5+D16),0)</f>
        <v>29.207662000000003</v>
      </c>
      <c r="E18" s="21">
        <f>MAX((E5+E16),0)</f>
        <v>7.0546174047340058</v>
      </c>
      <c r="F18" s="21">
        <f>MAX((F5+F16),0)</f>
        <v>290.08069318829087</v>
      </c>
      <c r="G18" s="21"/>
      <c r="H18" s="21"/>
      <c r="I18" s="21"/>
      <c r="J18" s="21">
        <f>MAX((J5+J16),0)</f>
        <v>1.7388632999550571</v>
      </c>
      <c r="K18" s="21"/>
      <c r="L18" s="21">
        <f>MAX((L5+L16),0)</f>
        <v>0</v>
      </c>
      <c r="M18" s="21"/>
      <c r="N18" s="21">
        <f>MAX((N5+N16),0)</f>
        <v>27.115635268907251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0.21055645337864939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106.38301640020248</v>
      </c>
      <c r="C22" s="23">
        <f ca="1">C18*C20</f>
        <v>0</v>
      </c>
      <c r="D22" s="23">
        <f>D18*D20</f>
        <v>5.8999477240000013</v>
      </c>
      <c r="E22" s="23">
        <f>E18*E20</f>
        <v>1.6013981508746193</v>
      </c>
      <c r="F22" s="23">
        <f>F18*F20</f>
        <v>77.451545081273665</v>
      </c>
      <c r="G22" s="23"/>
      <c r="H22" s="23"/>
      <c r="I22" s="23"/>
      <c r="J22" s="23">
        <f>J18*J20</f>
        <v>0.61555760818409022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38.514000000000003</v>
      </c>
      <c r="C30" s="39">
        <f>IF(ISERROR(B30*3.6/1000000/'E Balans VL '!Z18*100),0,B30*3.6/1000000/'E Balans VL '!Z18*100)</f>
        <v>2.5639004986192189E-3</v>
      </c>
      <c r="D30" s="234" t="s">
        <v>706</v>
      </c>
    </row>
    <row r="31" spans="1:18">
      <c r="A31" s="6" t="s">
        <v>32</v>
      </c>
      <c r="B31" s="37">
        <f>IF( ISERROR(IND_ander_ele_kWh/1000),0,IND_ander_ele_kWh/1000)</f>
        <v>330.93299999999999</v>
      </c>
      <c r="C31" s="39">
        <f>IF(ISERROR(B31*3.6/1000000/'E Balans VL '!Z19*100),0,B31*3.6/1000000/'E Balans VL '!Z19*100)</f>
        <v>1.4668948420109497E-2</v>
      </c>
      <c r="D31" s="234" t="s">
        <v>706</v>
      </c>
    </row>
    <row r="32" spans="1:18">
      <c r="A32" s="169" t="s">
        <v>40</v>
      </c>
      <c r="B32" s="37">
        <f>IF( ISERROR(IND_voed_ele_kWh/1000),0,IND_voed_ele_kWh/1000)</f>
        <v>0</v>
      </c>
      <c r="C32" s="39">
        <f>IF(ISERROR(B32*3.6/1000000/'E Balans VL '!Z20*100),0,B32*3.6/1000000/'E Balans VL '!Z20*100)</f>
        <v>0</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135.80000000000001</v>
      </c>
      <c r="C37" s="39">
        <f>IF(ISERROR(B37*3.6/1000000/'E Balans VL '!Z15*100),0,B37*3.6/1000000/'E Balans VL '!Z15*100)</f>
        <v>1.0101307628755437E-3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1070.319</v>
      </c>
      <c r="C5" s="17">
        <f>'Eigen informatie GS &amp; warmtenet'!B60</f>
        <v>0</v>
      </c>
      <c r="D5" s="30">
        <f>IF(ISERROR(SUM(LB_lb_gas_kWh,LB_rest_gas_kWh)/1000),0,SUM(LB_lb_gas_kWh,LB_rest_gas_kWh)/1000)*0.902</f>
        <v>0</v>
      </c>
      <c r="E5" s="17">
        <f>B17*'E Balans VL '!I25/3.6*1000000/100</f>
        <v>11.208612282614231</v>
      </c>
      <c r="F5" s="17">
        <f>B17*('E Balans VL '!L25/3.6*1000000+'E Balans VL '!N25/3.6*1000000)/100</f>
        <v>4581.778589718343</v>
      </c>
      <c r="G5" s="18"/>
      <c r="H5" s="17"/>
      <c r="I5" s="17"/>
      <c r="J5" s="17">
        <f>('E Balans VL '!D25+'E Balans VL '!E25)/3.6*1000000*landbouw!B17/100</f>
        <v>95.589080132857703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1070.319</v>
      </c>
      <c r="C8" s="21">
        <f>C5+C6</f>
        <v>0</v>
      </c>
      <c r="D8" s="21">
        <f>MAX((D5+D6),0)</f>
        <v>0</v>
      </c>
      <c r="E8" s="21">
        <f>MAX((E5+E6),0)</f>
        <v>11.208612282614231</v>
      </c>
      <c r="F8" s="21">
        <f>MAX((F5+F6),0)</f>
        <v>4581.778589718343</v>
      </c>
      <c r="G8" s="21"/>
      <c r="H8" s="21"/>
      <c r="I8" s="21"/>
      <c r="J8" s="21">
        <f>MAX((J5+J6),0)</f>
        <v>95.589080132857703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0.21055645337864939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225.36257262378263</v>
      </c>
      <c r="C12" s="23">
        <f ca="1">C8*C10</f>
        <v>0</v>
      </c>
      <c r="D12" s="23">
        <f>D8*D10</f>
        <v>0</v>
      </c>
      <c r="E12" s="23">
        <f>E8*E10</f>
        <v>2.5443549881534304</v>
      </c>
      <c r="F12" s="23">
        <f>F8*F10</f>
        <v>1223.3348834547976</v>
      </c>
      <c r="G12" s="23"/>
      <c r="H12" s="23"/>
      <c r="I12" s="23"/>
      <c r="J12" s="23">
        <f>J8*J10</f>
        <v>33.838534367031627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0.16474275507481587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262.52619278816297</v>
      </c>
      <c r="C26" s="244">
        <f>B26*'GWP N2O_CH4'!B5</f>
        <v>5513.0500485514222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71.297999915335865</v>
      </c>
      <c r="C27" s="244">
        <f>B27*'GWP N2O_CH4'!B5</f>
        <v>1497.2579982220532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4.1918684381548363</v>
      </c>
      <c r="C28" s="244">
        <f>B28*'GWP N2O_CH4'!B4</f>
        <v>1299.4792158279993</v>
      </c>
      <c r="D28" s="50"/>
    </row>
    <row r="29" spans="1:4">
      <c r="A29" s="41" t="s">
        <v>272</v>
      </c>
      <c r="B29" s="244">
        <f>B34*'ha_N2O bodem landbouw'!B4</f>
        <v>23.338379776908116</v>
      </c>
      <c r="C29" s="244">
        <f>B29*'GWP N2O_CH4'!B4</f>
        <v>7234.897730841516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3.8569737773363386E-3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2.2145979236586106E-6</v>
      </c>
      <c r="C5" s="435" t="s">
        <v>210</v>
      </c>
      <c r="D5" s="420">
        <f>SUM(D6:D11)</f>
        <v>8.8488926253757556E-6</v>
      </c>
      <c r="E5" s="420">
        <f>SUM(E6:E11)</f>
        <v>8.9365973454328047E-4</v>
      </c>
      <c r="F5" s="433" t="s">
        <v>210</v>
      </c>
      <c r="G5" s="420">
        <f>SUM(G6:G11)</f>
        <v>0.14135086290860743</v>
      </c>
      <c r="H5" s="420">
        <f>SUM(H6:H11)</f>
        <v>2.858720252976615E-2</v>
      </c>
      <c r="I5" s="435" t="s">
        <v>210</v>
      </c>
      <c r="J5" s="435" t="s">
        <v>210</v>
      </c>
      <c r="K5" s="435" t="s">
        <v>210</v>
      </c>
      <c r="L5" s="435" t="s">
        <v>210</v>
      </c>
      <c r="M5" s="420">
        <f>SUM(M6:M11)</f>
        <v>7.4050067984764356E-3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1.261571419892588E-6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3.9944138890999559E-6</v>
      </c>
      <c r="E6" s="423">
        <f>vkm_GW_PW*SUMIFS(TableVerdeelsleutelVkm[LPG],TableVerdeelsleutelVkm[Voertuigtype],"Lichte voertuigen")*SUMIFS(TableECFTransport[EnergieConsumptieFactor (PJ per km)],TableECFTransport[Index],CONCATENATE($A6,"_LPG_LPG"))</f>
        <v>4.1625266118527015E-4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5.5444958238528103E-2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1.3301125761484022E-2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3.0007084699683606E-3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3.4925694231628246E-8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1.5743705370155157E-2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4.2626052881637376E-7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6.7824537417453495E-4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9.0215973713592716E-7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4.8544787362757997E-6</v>
      </c>
      <c r="E8" s="423">
        <f>vkm_NGW_PW*SUMIFS(TableVerdeelsleutelVkm[LPG],TableVerdeelsleutelVkm[Voertuigtype],"Lichte voertuigen")*SUMIFS(TableECFTransport[EnergieConsumptieFactor (PJ per km)],TableECFTransport[Index],CONCATENATE($A8,"_LPG_LPG"))</f>
        <v>4.7740707335801032E-4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6.0208638888538772E-2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1.5285415672089674E-2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3.2972510278268898E-3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1.594107239846736E-8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9.9535604113854103E-3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2.3483566363698214E-7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4.2880192650664921E-4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0.61516608990516952</v>
      </c>
      <c r="C14" s="21"/>
      <c r="D14" s="21">
        <f t="shared" ref="D14:M14" si="0">((D5)*10^9/3600)+D12</f>
        <v>2.4580257292710432</v>
      </c>
      <c r="E14" s="21">
        <f t="shared" si="0"/>
        <v>248.23881515091122</v>
      </c>
      <c r="F14" s="21"/>
      <c r="G14" s="21">
        <f t="shared" si="0"/>
        <v>39264.128585724284</v>
      </c>
      <c r="H14" s="21">
        <f t="shared" si="0"/>
        <v>7940.8895916017082</v>
      </c>
      <c r="I14" s="21"/>
      <c r="J14" s="21"/>
      <c r="K14" s="21"/>
      <c r="L14" s="21"/>
      <c r="M14" s="21">
        <f t="shared" si="0"/>
        <v>2056.9463329101209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0.21055645337864939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0.12952719012924388</v>
      </c>
      <c r="C18" s="23"/>
      <c r="D18" s="23">
        <f t="shared" ref="D18:M18" si="1">D14*D16</f>
        <v>0.49652119731275074</v>
      </c>
      <c r="E18" s="23">
        <f t="shared" si="1"/>
        <v>56.350211039256848</v>
      </c>
      <c r="F18" s="23"/>
      <c r="G18" s="23">
        <f t="shared" si="1"/>
        <v>10483.522332388384</v>
      </c>
      <c r="H18" s="23">
        <f t="shared" si="1"/>
        <v>1977.2815083088253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2.0819789312200596E-5</v>
      </c>
      <c r="C50" s="315">
        <f t="shared" ref="C50:P50" si="2">SUM(C51:C52)</f>
        <v>0</v>
      </c>
      <c r="D50" s="315">
        <f t="shared" si="2"/>
        <v>0</v>
      </c>
      <c r="E50" s="315">
        <f t="shared" si="2"/>
        <v>0</v>
      </c>
      <c r="F50" s="315">
        <f t="shared" si="2"/>
        <v>0</v>
      </c>
      <c r="G50" s="315">
        <f t="shared" si="2"/>
        <v>4.5166442635462597E-3</v>
      </c>
      <c r="H50" s="315">
        <f t="shared" si="2"/>
        <v>0</v>
      </c>
      <c r="I50" s="315">
        <f t="shared" si="2"/>
        <v>0</v>
      </c>
      <c r="J50" s="315">
        <f t="shared" si="2"/>
        <v>0</v>
      </c>
      <c r="K50" s="315">
        <f t="shared" si="2"/>
        <v>0</v>
      </c>
      <c r="L50" s="315">
        <f t="shared" si="2"/>
        <v>0</v>
      </c>
      <c r="M50" s="315">
        <f t="shared" si="2"/>
        <v>1.9338535780966489E-4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2.0819789312200596E-5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4.5166442635462597E-3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1.9338535780966489E-4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5.7832748089446095</v>
      </c>
      <c r="C54" s="21">
        <f t="shared" ref="C54:P54" si="3">(C50)*10^9/3600</f>
        <v>0</v>
      </c>
      <c r="D54" s="21">
        <f t="shared" si="3"/>
        <v>0</v>
      </c>
      <c r="E54" s="21">
        <f t="shared" si="3"/>
        <v>0</v>
      </c>
      <c r="F54" s="21">
        <f t="shared" si="3"/>
        <v>0</v>
      </c>
      <c r="G54" s="21">
        <f t="shared" si="3"/>
        <v>1254.6234065406279</v>
      </c>
      <c r="H54" s="21">
        <f t="shared" si="3"/>
        <v>0</v>
      </c>
      <c r="I54" s="21">
        <f t="shared" si="3"/>
        <v>0</v>
      </c>
      <c r="J54" s="21">
        <f t="shared" si="3"/>
        <v>0</v>
      </c>
      <c r="K54" s="21">
        <f t="shared" si="3"/>
        <v>0</v>
      </c>
      <c r="L54" s="21">
        <f t="shared" si="3"/>
        <v>0</v>
      </c>
      <c r="M54" s="21">
        <f t="shared" si="3"/>
        <v>53.718154947129136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0.21055645337864939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1.2177058326854631</v>
      </c>
      <c r="C58" s="23">
        <f t="shared" ref="C58:P58" ca="1" si="4">C54*C56</f>
        <v>0</v>
      </c>
      <c r="D58" s="23">
        <f t="shared" si="4"/>
        <v>0</v>
      </c>
      <c r="E58" s="23">
        <f t="shared" si="4"/>
        <v>0</v>
      </c>
      <c r="F58" s="23">
        <f t="shared" si="4"/>
        <v>0</v>
      </c>
      <c r="G58" s="23">
        <f t="shared" si="4"/>
        <v>334.98444954634766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662.13838154186317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662.13838154186317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2021-06-29T16:55:17Z</dcterms:modified>
</cp:coreProperties>
</file>