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I9" i="18"/>
  <c r="G20" i="18"/>
  <c r="K20" i="18"/>
  <c r="B46" i="18"/>
  <c r="I50" i="18" s="1"/>
  <c r="H17" i="18" s="1"/>
  <c r="J9" i="18"/>
  <c r="O9" i="18" s="1"/>
  <c r="B17" i="18"/>
  <c r="B20" i="18" s="1"/>
  <c r="C46" i="18"/>
  <c r="H49" i="18" s="1"/>
  <c r="O19" i="18"/>
  <c r="O18" i="18"/>
  <c r="L20" i="18"/>
  <c r="B1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D50" i="18" l="1"/>
  <c r="P31" i="48"/>
  <c r="O32" i="48"/>
  <c r="D14" i="48"/>
  <c r="P32" i="48"/>
  <c r="R25" i="14"/>
  <c r="O25" i="48"/>
  <c r="B50" i="18"/>
  <c r="C17" i="18" s="1"/>
  <c r="D87" i="14" s="1"/>
  <c r="D17" i="55" s="1"/>
  <c r="D20" i="55" s="1"/>
  <c r="L20" i="55"/>
  <c r="F50" i="18"/>
  <c r="I17" i="18" s="1"/>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K90" i="14"/>
  <c r="C20" i="18" l="1"/>
  <c r="D78" i="14"/>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2" i="13"/>
  <c r="B35" i="13"/>
  <c r="C35" i="13" s="1"/>
  <c r="B33" i="13"/>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<sst xmlns="http://schemas.openxmlformats.org/spreadsheetml/2006/main" count="2599" uniqueCount="992">
  <si>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</si>
  <si>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</si>
  <si>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</si>
  <si>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</si>
  <si>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</si>
  <si>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</si>
  <si>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</si>
  <si>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</si>
  <si>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</si>
  <si>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</si>
  <si>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</si>
  <si>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</si>
  <si>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</si>
  <si>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</si>
  <si>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</si>
  <si>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</si>
  <si>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</si>
  <si>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</si>
  <si>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</si>
  <si>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</si>
  <si>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</si>
  <si>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</si>
  <si>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</si>
  <si>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</si>
  <si>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</si>
  <si>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</si>
  <si>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</si>
  <si>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</si>
  <si>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</si>
  <si>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</si>
  <si>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</si>
  <si>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</si>
  <si>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</si>
  <si>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</si>
  <si>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</si>
  <si>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</si>
  <si>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</si>
  <si>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</si>
  <si>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</si>
  <si>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</si>
  <si>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</si>
  <si>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</si>
  <si>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</si>
  <si>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</si>
  <si>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</si>
  <si>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</si>
  <si>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</si>
  <si>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</si>
  <si>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</si>
  <si>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</si>
  <si>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</si>
  <si>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</si>
  <si>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</si>
  <si>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</si>
  <si>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</si>
  <si>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</si>
  <si>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</si>
  <si>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</si>
  <si>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</si>
  <si>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</si>
  <si>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</si>
  <si>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</si>
  <si>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</si>
  <si>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</si>
  <si>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</si>
  <si>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</si>
  <si>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</si>
  <si>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</si>
  <si>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</si>
  <si>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</si>
  <si>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</si>
  <si>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</si>
  <si>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</si>
  <si>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</si>
  <si>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</si>
  <si>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</si>
  <si>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</si>
  <si>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</si>
  <si>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</si>
  <si>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</si>
  <si>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</si>
  <si>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</si>
  <si>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</si>
  <si>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</si>
  <si>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</si>
  <si>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</si>
  <si>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</si>
  <si>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</si>
  <si>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</si>
  <si>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</si>
  <si>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</si>
  <si>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</si>
  <si>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</si>
  <si>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</si>
  <si>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</si>
  <si>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</si>
  <si>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</si>
  <si>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</si>
  <si>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</si>
  <si>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</si>
  <si>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</si>
  <si>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</si>
  <si>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</si>
  <si>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</si>
  <si>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</si>
  <si>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</si>
  <si>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</si>
  <si>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</si>
  <si>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</si>
  <si>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</si>
  <si>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</si>
  <si>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</si>
  <si>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</si>
  <si>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</si>
  <si>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</si>
  <si>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</si>
  <si>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</si>
  <si>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</si>
  <si>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</si>
  <si>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</si>
  <si>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</si>
  <si>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</si>
  <si>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</si>
  <si>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</si>
  <si>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</si>
  <si>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</si>
  <si>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</si>
  <si>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</si>
  <si>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</si>
  <si>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</si>
  <si>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</si>
  <si>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</si>
  <si>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</si>
  <si>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</si>
  <si>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</si>
  <si>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</si>
  <si>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</si>
  <si>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</si>
  <si>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</si>
  <si>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</si>
  <si>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</si>
  <si>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</si>
  <si>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</si>
  <si>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</si>
  <si>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</si>
  <si>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</si>
  <si>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</si>
  <si>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</si>
  <si>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</si>
  <si>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</si>
  <si>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</si>
  <si>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</si>
  <si>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</si>
  <si>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</si>
  <si>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</si>
  <si>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</si>
  <si>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</si>
  <si>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</si>
  <si>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</si>
  <si>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</si>
  <si>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</si>
  <si>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</si>
  <si>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</si>
  <si>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</si>
  <si>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</si>
  <si>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</si>
  <si>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</si>
  <si>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</si>
  <si>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</si>
  <si>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</si>
  <si>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</si>
  <si>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</si>
  <si>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</si>
  <si>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</si>
  <si>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</si>
  <si>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</si>
  <si>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</si>
  <si>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</si>
  <si>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</si>
  <si>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</si>
  <si>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</si>
  <si>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</si>
  <si>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</si>
  <si>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</si>
  <si>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</si>
  <si>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</si>
  <si>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</si>
  <si>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</si>
  <si>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</si>
  <si>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</si>
  <si>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</si>
  <si>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</si>
  <si>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</si>
  <si>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</si>
  <si>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</si>
  <si>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</si>
  <si>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</si>
  <si>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</si>
  <si>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</si>
  <si>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</si>
  <si>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</si>
  <si>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</si>
  <si>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</si>
  <si>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</si>
  <si>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</si>
  <si>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</si>
  <si>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</si>
  <si>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</si>
  <si>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</si>
  <si>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</si>
  <si>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</si>
  <si>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</si>
  <si>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</si>
  <si>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</si>
  <si>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</si>
  <si>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</si>
  <si>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</si>
  <si>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</si>
  <si>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</si>
  <si>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</si>
  <si>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</si>
  <si>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</si>
  <si>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</si>
  <si>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</si>
  <si>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</si>
  <si>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</si>
  <si>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</si>
  <si>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</si>
  <si>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</si>
  <si>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</si>
  <si>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</si>
  <si>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</si>
  <si>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</si>
  <si>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</si>
  <si>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</si>
  <si>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</si>
  <si>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</si>
  <si>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</si>
  <si>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</si>
  <si>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</si>
  <si>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</si>
  <si>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</si>
  <si>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</si>
  <si>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</si>
  <si>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</si>
  <si>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</si>
  <si>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</si>
  <si>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</si>
  <si>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</si>
  <si>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</si>
  <si>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</si>
  <si>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</si>
  <si>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</si>
  <si>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</si>
  <si>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</si>
  <si>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</si>
  <si>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</si>
  <si>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</si>
  <si>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</si>
  <si>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</si>
  <si>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</si>
  <si>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</si>
  <si>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</si>
  <si>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</si>
  <si>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</si>
  <si>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</si>
  <si>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</si>
  <si>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</si>
  <si>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</si>
  <si>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</si>
  <si>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</si>
  <si>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</si>
  <si>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</si>
  <si>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</si>
  <si>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</si>
  <si>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</si>
  <si>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</si>
  <si>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</si>
  <si>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</si>
  <si>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</si>
  <si>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</si>
  <si>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</si>
  <si>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</si>
  <si>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</si>
  <si>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</si>
  <si>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</si>
  <si>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</si>
  <si>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</si>
  <si>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</si>
  <si>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</si>
  <si>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</si>
  <si>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</si>
  <si>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</si>
  <si>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</si>
  <si>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</si>
  <si>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</si>
  <si>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</si>
  <si>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</si>
  <si>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</si>
  <si>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</si>
  <si>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</si>
  <si>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</si>
  <si>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</si>
  <si>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</si>
  <si>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</si>
  <si>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</si>
  <si>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</si>
  <si>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</si>
  <si>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</si>
  <si>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</si>
  <si>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</si>
  <si>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</si>
  <si>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</si>
  <si>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</si>
  <si>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</si>
  <si>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</si>
  <si>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</si>
  <si>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</si>
  <si>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</si>
  <si>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</si>
  <si>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</si>
  <si>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</si>
  <si>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</si>
  <si>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</si>
  <si>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</si>
  <si>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</si>
  <si>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</si>
  <si>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</si>
  <si>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</si>
  <si>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</si>
  <si>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</si>
  <si>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</si>
  <si>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</si>
  <si>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</si>
  <si>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</si>
  <si>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</si>
  <si>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</si>
  <si>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</si>
  <si>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</si>
  <si>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</si>
  <si>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</si>
  <si>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</si>
  <si>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</si>
  <si>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</si>
  <si>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</si>
  <si>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</si>
  <si>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</si>
  <si>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</si>
  <si>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</si>
  <si>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</si>
  <si>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</si>
  <si>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</si>
  <si>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</si>
  <si>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</si>
  <si>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</si>
  <si>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</si>
  <si>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</si>
  <si>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</si>
  <si>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</si>
  <si>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</si>
  <si>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</si>
  <si>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</si>
  <si>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</si>
  <si>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</si>
  <si>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</si>
  <si>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</si>
  <si>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</si>
  <si>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</si>
  <si>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</si>
  <si>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</si>
  <si>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</si>
  <si>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</si>
  <si>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</si>
  <si>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</si>
  <si>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</si>
  <si>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</si>
  <si>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</si>
  <si>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</si>
  <si>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</si>
  <si>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</si>
  <si>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</si>
  <si>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</si>
  <si>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</si>
  <si>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</si>
  <si>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</si>
  <si>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</si>
  <si>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</si>
  <si>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</si>
  <si>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</si>
  <si>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</si>
  <si>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</si>
  <si>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</si>
  <si>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</si>
  <si>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</si>
  <si>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</si>
  <si>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</si>
  <si>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</si>
  <si>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</si>
  <si>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</si>
  <si>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</si>
  <si>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</si>
  <si>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</si>
  <si>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</si>
  <si>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</si>
  <si>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</si>
  <si>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</si>
  <si>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</si>
  <si>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</si>
  <si>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</si>
  <si>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</si>
  <si>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</si>
  <si>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</si>
  <si>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</si>
  <si>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</si>
  <si>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</si>
  <si>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</si>
  <si>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</si>
  <si>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</si>
  <si>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</si>
  <si>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</si>
  <si>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</si>
  <si>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</si>
  <si>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</si>
  <si>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</si>
  <si>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</si>
  <si>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</si>
  <si>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</si>
  <si>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</si>
  <si>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</si>
  <si>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</si>
  <si>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</si>
  <si>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</si>
  <si>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</si>
  <si>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</si>
  <si>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</si>
  <si>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</si>
  <si>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</si>
  <si>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</si>
  <si>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</si>
  <si>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</si>
  <si>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</si>
  <si>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</si>
  <si>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</si>
  <si>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</si>
  <si>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</si>
  <si>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</si>
  <si>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</si>
  <si>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</si>
  <si>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</si>
  <si>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</si>
  <si>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</si>
  <si>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</si>
  <si>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</si>
  <si>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</si>
  <si>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</si>
  <si>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</si>
  <si>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</si>
  <si>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</si>
  <si>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</si>
  <si>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</si>
  <si>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</si>
  <si>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</si>
  <si>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</si>
  <si>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</si>
  <si>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</si>
  <si>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</si>
  <si>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</si>
  <si>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</si>
  <si>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</si>
  <si>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</si>
  <si>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</si>
  <si>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</si>
  <si>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</si>
  <si>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</si>
  <si>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</si>
  <si>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</si>
  <si>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</si>
  <si>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</si>
  <si>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</si>
  <si>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</si>
  <si>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</si>
  <si>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</si>
  <si>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</si>
  <si>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</si>
  <si>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</si>
  <si>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</si>
  <si>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</si>
  <si>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</si>
  <si>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</si>
  <si>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</si>
  <si>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</si>
  <si>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</si>
  <si>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</si>
  <si>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</si>
  <si>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</si>
  <si>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</si>
  <si>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</si>
  <si>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</si>
  <si>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</si>
  <si>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</si>
  <si>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</si>
  <si>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</si>
  <si>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</si>
  <si>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</si>
  <si>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</si>
  <si>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</si>
  <si>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</si>
  <si>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</si>
  <si>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</si>
  <si>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</si>
  <si>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</si>
  <si>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</si>
  <si>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</si>
  <si>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</si>
  <si>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</si>
  <si>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</si>
  <si>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</si>
  <si>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</si>
  <si>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</si>
  <si>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</si>
  <si>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</si>
  <si>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</si>
  <si>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</si>
  <si>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</si>
  <si>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</si>
  <si>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</si>
  <si>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</si>
  <si>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</si>
  <si>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</si>
  <si>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</si>
  <si>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</si>
  <si>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</si>
  <si>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</si>
  <si>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</si>
  <si>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</si>
  <si>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</si>
  <si>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</si>
  <si>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</si>
  <si>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</si>
  <si>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</si>
  <si>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</si>
  <si>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</si>
  <si>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</si>
  <si>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</si>
  <si>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</si>
  <si>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</si>
  <si>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</si>
  <si>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</si>
  <si>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</si>
  <si>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</si>
  <si>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</si>
  <si>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</si>
  <si>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</si>
  <si>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</si>
  <si>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</si>
  <si>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</si>
  <si>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</si>
  <si>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</si>
  <si>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</si>
  <si>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</si>
  <si>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</si>
  <si>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</si>
  <si>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</si>
  <si>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</si>
  <si>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</si>
  <si>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</si>
  <si>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</si>
  <si>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</si>
  <si>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</si>
  <si>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</si>
  <si>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</si>
  <si>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</si>
  <si>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</si>
  <si>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</si>
  <si>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</si>
  <si>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</si>
  <si>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</si>
  <si>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</si>
  <si>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</si>
  <si>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</si>
  <si>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</si>
  <si>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</si>
  <si>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</si>
  <si>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</si>
  <si>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</si>
  <si>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</si>
  <si>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</si>
  <si>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</si>
  <si>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</si>
  <si>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</si>
  <si>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</si>
  <si>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</si>
  <si>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</si>
  <si>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</si>
  <si>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</si>
  <si>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</si>
  <si>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</si>
  <si>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</si>
  <si>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</si>
  <si>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</si>
  <si>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</si>
  <si>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</si>
  <si>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</si>
  <si>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</si>
  <si>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</si>
  <si>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</si>
  <si>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</si>
  <si>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</si>
  <si>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</si>
  <si>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</si>
  <si>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</si>
  <si>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</si>
  <si>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</si>
  <si>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</si>
  <si>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</si>
  <si>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</si>
  <si>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</si>
  <si>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</si>
  <si>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</si>
  <si>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</si>
  <si>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</si>
  <si>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</si>
  <si>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</si>
  <si>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</si>
  <si>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</si>
  <si>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</si>
  <si>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</si>
  <si>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</si>
  <si>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</si>
  <si>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</si>
  <si>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</si>
  <si>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</si>
  <si>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</si>
  <si>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</si>
  <si>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</si>
  <si>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</si>
  <si>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</si>
  <si>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</si>
  <si>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</si>
  <si>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</si>
  <si>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</si>
  <si>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</si>
  <si>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</si>
  <si>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</si>
  <si>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</si>
  <si>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</si>
  <si>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</si>
  <si>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</si>
  <si>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</si>
  <si>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</si>
  <si>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</si>
  <si>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</si>
  <si>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</si>
  <si>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</si>
  <si>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</si>
  <si>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</si>
  <si>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</si>
  <si>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</si>
  <si>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</si>
  <si>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</si>
  <si>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</si>
  <si>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</si>
  <si>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</si>
  <si>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</si>
  <si>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</si>
  <si>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</si>
  <si>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</si>
  <si>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</si>
  <si>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</si>
  <si>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</si>
  <si>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</si>
  <si>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</si>
  <si>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</si>
  <si>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</si>
  <si>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</si>
  <si>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</si>
  <si>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</si>
  <si>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</si>
  <si>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</si>
  <si>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</si>
  <si>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</si>
  <si>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</si>
  <si>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</si>
  <si>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</si>
  <si>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</si>
  <si>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</si>
  <si>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</si>
  <si>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</si>
  <si>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</si>
  <si>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</si>
  <si>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</si>
  <si>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</si>
  <si>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</si>
  <si>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</si>
  <si>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</si>
  <si>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</si>
  <si>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</si>
  <si>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</si>
  <si>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</si>
  <si>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</si>
  <si>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</si>
  <si>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</si>
  <si>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</si>
  <si>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</si>
  <si>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</si>
  <si>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</si>
  <si>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</si>
  <si>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</si>
  <si>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</si>
  <si>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</si>
  <si>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</si>
  <si>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</si>
  <si>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</si>
  <si>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</si>
  <si>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</si>
  <si>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</si>
  <si>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</si>
  <si>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</si>
  <si>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</si>
  <si>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</si>
  <si>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</si>
  <si>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</si>
  <si>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</si>
  <si>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</si>
  <si>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</si>
  <si>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</si>
  <si>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</si>
  <si>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</si>
  <si>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</si>
  <si>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</si>
  <si>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</si>
  <si>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</si>
  <si>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</si>
  <si>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</si>
  <si>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</si>
  <si>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</si>
  <si>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</si>
  <si>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</si>
  <si>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</si>
  <si>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</si>
  <si>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</si>
  <si>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</si>
  <si>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</si>
  <si>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</si>
  <si>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</si>
  <si>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</si>
  <si>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</si>
  <si>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</si>
  <si>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</si>
  <si>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</si>
  <si>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</si>
  <si>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</si>
  <si>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</si>
  <si>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</si>
  <si>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</si>
  <si>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</si>
  <si>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</si>
  <si>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</si>
  <si>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</si>
  <si>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</si>
  <si>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</si>
  <si>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</si>
  <si>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</si>
  <si>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</si>
  <si>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</si>
  <si>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</si>
  <si>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</si>
  <si>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</si>
  <si>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</si>
  <si>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</si>
  <si>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</si>
  <si>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</si>
  <si>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</si>
  <si>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</si>
  <si>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</si>
  <si>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</si>
  <si>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</si>
  <si>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</si>
  <si>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</si>
  <si>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</si>
  <si>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</si>
  <si>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</si>
  <si>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</si>
  <si>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</si>
  <si>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</si>
  <si>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</si>
  <si>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</si>
  <si>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</si>
  <si>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</si>
  <si>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</si>
  <si>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</si>
  <si>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</si>
  <si>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</si>
  <si>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</si>
  <si>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</si>
  <si>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</si>
  <si>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</si>
  <si>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</si>
  <si>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</si>
  <si>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</si>
  <si>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</si>
  <si>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</si>
  <si>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</si>
  <si>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</si>
  <si>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</si>
  <si>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</si>
  <si>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</si>
  <si>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</si>
  <si>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</si>
  <si>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</si>
  <si>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</si>
  <si>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</si>
  <si>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</si>
  <si>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</si>
  <si>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</si>
  <si>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</si>
  <si>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</si>
  <si>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</si>
  <si>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</si>
  <si>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</si>
  <si>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</si>
  <si>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</si>
  <si>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</si>
  <si>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</si>
  <si>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</si>
  <si>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</si>
  <si>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</si>
  <si>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</si>
  <si>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</si>
  <si>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</si>
  <si>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</si>
  <si>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</si>
  <si>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</si>
  <si>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</si>
  <si>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</si>
  <si>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</si>
  <si>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</si>
  <si>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</si>
  <si>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</si>
  <si>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</si>
  <si>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</si>
  <si>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</si>
  <si>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</si>
  <si>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</si>
  <si>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</si>
  <si>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</si>
  <si>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</si>
  <si>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</si>
  <si>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</si>
  <si>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</si>
  <si>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</si>
  <si>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</si>
  <si>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</si>
  <si>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</si>
  <si>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</si>
  <si>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</si>
  <si>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</si>
  <si>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</si>
  <si>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</si>
  <si>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</si>
  <si>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</si>
  <si>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</si>
  <si>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</si>
  <si>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</si>
  <si>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</si>
  <si>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</si>
  <si>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</si>
  <si>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</si>
  <si>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</si>
  <si>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</si>
  <si>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</si>
  <si>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</si>
  <si>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</si>
  <si>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</si>
  <si>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</si>
  <si>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</si>
  <si>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</si>
  <si>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</si>
  <si>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</si>
  <si>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</si>
  <si>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</si>
  <si>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</si>
  <si>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</si>
  <si>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</si>
  <si>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</si>
  <si>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</si>
  <si>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</si>
  <si>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</si>
  <si>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</si>
  <si>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</si>
  <si>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</si>
  <si>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</si>
  <si>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</si>
  <si>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</si>
  <si>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</si>
  <si>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</si>
  <si>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</si>
  <si>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</si>
  <si>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</si>
  <si>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</si>
  <si>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</si>
  <si>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</si>
  <si>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</si>
  <si>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</si>
  <si>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</si>
  <si>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</si>
  <si>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</si>
  <si>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</si>
  <si>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</si>
  <si>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</si>
  <si>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</si>
  <si>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</si>
  <si>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</si>
  <si>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</si>
  <si>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</si>
  <si>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</si>
  <si>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</si>
  <si>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</si>
  <si>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</si>
  <si>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</si>
  <si>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</si>
  <si>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</si>
  <si>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</si>
  <si>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</si>
  <si>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</si>
  <si>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</si>
  <si>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</si>
  <si>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</si>
  <si>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</si>
  <si>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</si>
  <si>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</si>
  <si>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</si>
  <si>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</si>
  <si>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</si>
  <si>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</si>
  <si>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</si>
  <si>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</si>
  <si>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</si>
  <si>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</si>
  <si>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</si>
  <si>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</si>
  <si>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</si>
  <si>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</si>
  <si>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</si>
  <si>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</si>
  <si>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</si>
  <si>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</si>
  <si>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</si>
  <si>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</si>
  <si>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</si>
  <si>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</si>
  <si>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</si>
  <si>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</si>
  <si>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</si>
  <si>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</si>
  <si>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</si>
  <si>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</si>
  <si>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</si>
  <si>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</si>
  <si>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</si>
  <si>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</si>
  <si>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</si>
  <si>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</si>
  <si>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</si>
  <si>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</si>
  <si>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</si>
  <si>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</si>
  <si>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</si>
  <si>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</si>
  <si>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</si>
  <si>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</si>
  <si>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</si>
  <si>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</si>
  <si>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</si>
  <si>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</si>
  <si>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</si>
  <si>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23060</t>
  </si>
  <si>
    <t>OPWIJK</t>
  </si>
  <si>
    <t>Paarden&amp;pony's 200 - 600 kg</t>
  </si>
  <si>
    <t>Paarden&amp;pony's &lt; 200 kg</t>
  </si>
  <si>
    <t>Fluvius</t>
  </si>
  <si>
    <t xml:space="preserve">Bron: </t>
  </si>
  <si>
    <t>referentietaak LNE (2017); Jaarverslag De Lijn</t>
  </si>
  <si>
    <t>Rozenkwekerij Van Biesen</t>
  </si>
  <si>
    <t>Steenweg op Lebbeke 115 , 1745 Opwijk</t>
  </si>
  <si>
    <t>WKK-0311 Rozenkwekerij Van Biesen</t>
  </si>
  <si>
    <t>interne verbrandingsmotor</t>
  </si>
  <si>
    <t>WKK interne verbrandinsgmotor (vloeibaar)</t>
  </si>
  <si>
    <t>eilandwerking</t>
  </si>
  <si>
    <t xml:space="preserve">Lissens Dirk </t>
  </si>
  <si>
    <t>Pluimhofweg 28, 1745 Opwijk</t>
  </si>
  <si>
    <t>WKK-0051 Lissens Opwijk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</si>
</sst>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23060</v>
      </c>
      <c r="B6" s="386"/>
      <c r="C6" s="387"/>
    </row>
    <row r="7" spans="1:7" s="384" customFormat="1" ht="15.75" customHeight="1">
      <c r="A7" s="388" t="str">
        <f>txtMunicipality</f>
        <v>OPWIJK</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10160.444037834321</v>
      </c>
      <c r="D10" s="676">
        <f ca="1">tertiair!C16</f>
        <v>0</v>
      </c>
      <c r="E10" s="676">
        <f ca="1">tertiair!D16</f>
        <v>9265.2092606276638</v>
      </c>
      <c r="F10" s="676">
        <f>tertiair!E16</f>
        <v>187.54048253301133</v>
      </c>
      <c r="G10" s="676">
        <f ca="1">tertiair!F16</f>
        <v>1659.3560509132631</v>
      </c>
      <c r="H10" s="676">
        <f>tertiair!G16</f>
        <v>0</v>
      </c>
      <c r="I10" s="676">
        <f>tertiair!H16</f>
        <v>0</v>
      </c>
      <c r="J10" s="676">
        <f>tertiair!I16</f>
        <v>0</v>
      </c>
      <c r="K10" s="676">
        <f>tertiair!J16</f>
        <v>0</v>
      </c>
      <c r="L10" s="676">
        <f>tertiair!K16</f>
        <v>0</v>
      </c>
      <c r="M10" s="676">
        <f ca="1">tertiair!L16</f>
        <v>0</v>
      </c>
      <c r="N10" s="676">
        <f>tertiair!M16</f>
        <v>0</v>
      </c>
      <c r="O10" s="676">
        <f ca="1">tertiair!N16</f>
        <v>358.20821150623857</v>
      </c>
      <c r="P10" s="676">
        <f>tertiair!O16</f>
        <v>1.5633333333333335</v>
      </c>
      <c r="Q10" s="677">
        <f>tertiair!P16</f>
        <v>19.066666666666666</v>
      </c>
      <c r="R10" s="679">
        <f ca="1">SUM(C10:Q10)</f>
        <v>21651.388043414496</v>
      </c>
      <c r="S10" s="67"/>
    </row>
    <row r="11" spans="1:19" s="445" customFormat="1">
      <c r="A11" s="791" t="s">
        <v>220</v>
      </c>
      <c r="B11" s="796"/>
      <c r="C11" s="676">
        <f>huishoudens!B8</f>
        <v>28590.070742144741</v>
      </c>
      <c r="D11" s="676">
        <f>huishoudens!C8</f>
        <v>0</v>
      </c>
      <c r="E11" s="676">
        <f>huishoudens!D8</f>
        <v>38324.992565147295</v>
      </c>
      <c r="F11" s="676">
        <f>huishoudens!E8</f>
        <v>1386.0007155074866</v>
      </c>
      <c r="G11" s="676">
        <f>huishoudens!F8</f>
        <v>47310.296782511272</v>
      </c>
      <c r="H11" s="676">
        <f>huishoudens!G8</f>
        <v>0</v>
      </c>
      <c r="I11" s="676">
        <f>huishoudens!H8</f>
        <v>0</v>
      </c>
      <c r="J11" s="676">
        <f>huishoudens!I8</f>
        <v>0</v>
      </c>
      <c r="K11" s="676">
        <f>huishoudens!J8</f>
        <v>1065.3079383530981</v>
      </c>
      <c r="L11" s="676">
        <f>huishoudens!K8</f>
        <v>0</v>
      </c>
      <c r="M11" s="676">
        <f>huishoudens!L8</f>
        <v>0</v>
      </c>
      <c r="N11" s="676">
        <f>huishoudens!M8</f>
        <v>0</v>
      </c>
      <c r="O11" s="676">
        <f>huishoudens!N8</f>
        <v>6808.2462691835472</v>
      </c>
      <c r="P11" s="676">
        <f>huishoudens!O8</f>
        <v>82.856666666666683</v>
      </c>
      <c r="Q11" s="677">
        <f>huishoudens!P8</f>
        <v>457.6</v>
      </c>
      <c r="R11" s="679">
        <f>SUM(C11:Q11)</f>
        <v>124025.37167951412</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7301.2305160296819</v>
      </c>
      <c r="D13" s="676">
        <f>industrie!C18</f>
        <v>0</v>
      </c>
      <c r="E13" s="676">
        <f>industrie!D18</f>
        <v>4079.3372291235846</v>
      </c>
      <c r="F13" s="676">
        <f>industrie!E18</f>
        <v>57.864062975648224</v>
      </c>
      <c r="G13" s="676">
        <f>industrie!F18</f>
        <v>1614.065090554825</v>
      </c>
      <c r="H13" s="676">
        <f>industrie!G18</f>
        <v>0</v>
      </c>
      <c r="I13" s="676">
        <f>industrie!H18</f>
        <v>0</v>
      </c>
      <c r="J13" s="676">
        <f>industrie!I18</f>
        <v>0</v>
      </c>
      <c r="K13" s="676">
        <f>industrie!J18</f>
        <v>26.463138638646086</v>
      </c>
      <c r="L13" s="676">
        <f>industrie!K18</f>
        <v>0</v>
      </c>
      <c r="M13" s="676">
        <f>industrie!L18</f>
        <v>0</v>
      </c>
      <c r="N13" s="676">
        <f>industrie!M18</f>
        <v>0</v>
      </c>
      <c r="O13" s="676">
        <f>industrie!N18</f>
        <v>160.94924275986375</v>
      </c>
      <c r="P13" s="676">
        <f>industrie!O18</f>
        <v>0</v>
      </c>
      <c r="Q13" s="677">
        <f>industrie!P18</f>
        <v>0</v>
      </c>
      <c r="R13" s="679">
        <f>SUM(C13:Q13)</f>
        <v>13239.909280082249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46051.745296008739</v>
      </c>
      <c r="D16" s="709">
        <f t="shared" ref="D16:R16" ca="1" si="0">SUM(D9:D15)</f>
        <v>0</v>
      </c>
      <c r="E16" s="709">
        <f t="shared" ca="1" si="0"/>
        <v>51669.539054898545</v>
      </c>
      <c r="F16" s="709">
        <f t="shared" si="0"/>
        <v>1631.4052610161461</v>
      </c>
      <c r="G16" s="709">
        <f t="shared" ca="1" si="0"/>
        <v>50583.717923979362</v>
      </c>
      <c r="H16" s="709">
        <f t="shared" si="0"/>
        <v>0</v>
      </c>
      <c r="I16" s="709">
        <f t="shared" si="0"/>
        <v>0</v>
      </c>
      <c r="J16" s="709">
        <f t="shared" si="0"/>
        <v>0</v>
      </c>
      <c r="K16" s="709">
        <f t="shared" si="0"/>
        <v>1091.7710769917442</v>
      </c>
      <c r="L16" s="709">
        <f t="shared" si="0"/>
        <v>0</v>
      </c>
      <c r="M16" s="709">
        <f t="shared" ca="1" si="0"/>
        <v>0</v>
      </c>
      <c r="N16" s="709">
        <f t="shared" si="0"/>
        <v>0</v>
      </c>
      <c r="O16" s="709">
        <f t="shared" ca="1" si="0"/>
        <v>7327.4037234496491</v>
      </c>
      <c r="P16" s="709">
        <f t="shared" si="0"/>
        <v>84.420000000000016</v>
      </c>
      <c r="Q16" s="709">
        <f t="shared" si="0"/>
        <v>476.66666666666669</v>
      </c>
      <c r="R16" s="709">
        <f t="shared" ca="1" si="0"/>
        <v>158916.66900301087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3.1135028073350597</v>
      </c>
      <c r="D19" s="676">
        <f>transport!C54</f>
        <v>0</v>
      </c>
      <c r="E19" s="676">
        <f>transport!D54</f>
        <v>0</v>
      </c>
      <c r="F19" s="676">
        <f>transport!E54</f>
        <v>0</v>
      </c>
      <c r="G19" s="676">
        <f>transport!F54</f>
        <v>0</v>
      </c>
      <c r="H19" s="676">
        <f>transport!G54</f>
        <v>675.44317492417008</v>
      </c>
      <c r="I19" s="676">
        <f>transport!H54</f>
        <v>0</v>
      </c>
      <c r="J19" s="676">
        <f>transport!I54</f>
        <v>0</v>
      </c>
      <c r="K19" s="676">
        <f>transport!J54</f>
        <v>0</v>
      </c>
      <c r="L19" s="676">
        <f>transport!K54</f>
        <v>0</v>
      </c>
      <c r="M19" s="676">
        <f>transport!L54</f>
        <v>0</v>
      </c>
      <c r="N19" s="676">
        <f>transport!M54</f>
        <v>28.919882204813998</v>
      </c>
      <c r="O19" s="676">
        <f>transport!N54</f>
        <v>0</v>
      </c>
      <c r="P19" s="676">
        <f>transport!O54</f>
        <v>0</v>
      </c>
      <c r="Q19" s="677">
        <f>transport!P54</f>
        <v>0</v>
      </c>
      <c r="R19" s="679">
        <f>SUM(C19:Q19)</f>
        <v>707.47655993631918</v>
      </c>
      <c r="S19" s="67"/>
    </row>
    <row r="20" spans="1:19" s="445" customFormat="1">
      <c r="A20" s="791" t="s">
        <v>302</v>
      </c>
      <c r="B20" s="796"/>
      <c r="C20" s="676">
        <f>transport!B14</f>
        <v>0.70288943636149914</v>
      </c>
      <c r="D20" s="676">
        <f>transport!C14</f>
        <v>0</v>
      </c>
      <c r="E20" s="676">
        <f>transport!D14</f>
        <v>2.6287400190602668</v>
      </c>
      <c r="F20" s="676">
        <f>transport!E14</f>
        <v>266.79355323232562</v>
      </c>
      <c r="G20" s="676">
        <f>transport!F14</f>
        <v>0</v>
      </c>
      <c r="H20" s="676">
        <f>transport!G14</f>
        <v>50114.335452797517</v>
      </c>
      <c r="I20" s="676">
        <f>transport!H14</f>
        <v>8533.2023531988834</v>
      </c>
      <c r="J20" s="676">
        <f>transport!I14</f>
        <v>0</v>
      </c>
      <c r="K20" s="676">
        <f>transport!J14</f>
        <v>0</v>
      </c>
      <c r="L20" s="676">
        <f>transport!K14</f>
        <v>0</v>
      </c>
      <c r="M20" s="676">
        <f>transport!L14</f>
        <v>0</v>
      </c>
      <c r="N20" s="676">
        <f>transport!M14</f>
        <v>2551.6254927242303</v>
      </c>
      <c r="O20" s="676">
        <f>transport!N14</f>
        <v>0</v>
      </c>
      <c r="P20" s="676">
        <f>transport!O14</f>
        <v>0</v>
      </c>
      <c r="Q20" s="677">
        <f>transport!P14</f>
        <v>0</v>
      </c>
      <c r="R20" s="679">
        <f>SUM(C20:Q20)</f>
        <v>61469.288481408381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3.8163922436965589</v>
      </c>
      <c r="D22" s="794">
        <f t="shared" ref="D22:R22" si="1">SUM(D18:D21)</f>
        <v>0</v>
      </c>
      <c r="E22" s="794">
        <f t="shared" si="1"/>
        <v>2.6287400190602668</v>
      </c>
      <c r="F22" s="794">
        <f t="shared" si="1"/>
        <v>266.79355323232562</v>
      </c>
      <c r="G22" s="794">
        <f t="shared" si="1"/>
        <v>0</v>
      </c>
      <c r="H22" s="794">
        <f t="shared" si="1"/>
        <v>50789.778627721687</v>
      </c>
      <c r="I22" s="794">
        <f t="shared" si="1"/>
        <v>8533.2023531988834</v>
      </c>
      <c r="J22" s="794">
        <f t="shared" si="1"/>
        <v>0</v>
      </c>
      <c r="K22" s="794">
        <f t="shared" si="1"/>
        <v>0</v>
      </c>
      <c r="L22" s="794">
        <f t="shared" si="1"/>
        <v>0</v>
      </c>
      <c r="M22" s="794">
        <f t="shared" si="1"/>
        <v>0</v>
      </c>
      <c r="N22" s="794">
        <f t="shared" si="1"/>
        <v>2580.5453749290441</v>
      </c>
      <c r="O22" s="794">
        <f t="shared" si="1"/>
        <v>0</v>
      </c>
      <c r="P22" s="794">
        <f t="shared" si="1"/>
        <v>0</v>
      </c>
      <c r="Q22" s="794">
        <f t="shared" si="1"/>
        <v>0</v>
      </c>
      <c r="R22" s="794">
        <f t="shared" si="1"/>
        <v>62176.765041344697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1019.060942729954</v>
      </c>
      <c r="D24" s="676">
        <f>+landbouw!C8</f>
        <v>5133.375</v>
      </c>
      <c r="E24" s="676">
        <f>+landbouw!D8</f>
        <v>116.11850873144124</v>
      </c>
      <c r="F24" s="676">
        <f>+landbouw!E8</f>
        <v>10.671826809965442</v>
      </c>
      <c r="G24" s="676">
        <f>+landbouw!F8</f>
        <v>1510.4801567507384</v>
      </c>
      <c r="H24" s="676">
        <f>+landbouw!G8</f>
        <v>0</v>
      </c>
      <c r="I24" s="676">
        <f>+landbouw!H8</f>
        <v>0</v>
      </c>
      <c r="J24" s="676">
        <f>+landbouw!I8</f>
        <v>0</v>
      </c>
      <c r="K24" s="676">
        <f>+landbouw!J8</f>
        <v>91.011276184837499</v>
      </c>
      <c r="L24" s="676">
        <f>+landbouw!K8</f>
        <v>0</v>
      </c>
      <c r="M24" s="676">
        <f>+landbouw!L8</f>
        <v>0</v>
      </c>
      <c r="N24" s="676">
        <f>+landbouw!M8</f>
        <v>0</v>
      </c>
      <c r="O24" s="676">
        <f>+landbouw!N8</f>
        <v>0</v>
      </c>
      <c r="P24" s="676">
        <f>+landbouw!O8</f>
        <v>0</v>
      </c>
      <c r="Q24" s="677">
        <f>+landbouw!P8</f>
        <v>0</v>
      </c>
      <c r="R24" s="679">
        <f>SUM(C24:Q24)</f>
        <v>7880.7177112069376</v>
      </c>
      <c r="S24" s="67"/>
    </row>
    <row r="25" spans="1:19" s="445" customFormat="1" ht="15" thickBot="1">
      <c r="A25" s="813" t="s">
        <v>895</v>
      </c>
      <c r="B25" s="968"/>
      <c r="C25" s="969">
        <f>IF(Onbekend_ele_kWh="---",0,Onbekend_ele_kWh)/1000+IF(REST_rest_ele_kWh="---",0,REST_rest_ele_kWh)/1000</f>
        <v>947.09323347648899</v>
      </c>
      <c r="D25" s="969"/>
      <c r="E25" s="969">
        <f>IF(onbekend_gas_kWh="---",0,onbekend_gas_kWh)/1000+IF(REST_rest_gas_kWh="---",0,REST_rest_gas_kWh)/1000</f>
        <v>1358.65356567399</v>
      </c>
      <c r="F25" s="969"/>
      <c r="G25" s="969"/>
      <c r="H25" s="969"/>
      <c r="I25" s="969"/>
      <c r="J25" s="969"/>
      <c r="K25" s="969"/>
      <c r="L25" s="969"/>
      <c r="M25" s="969"/>
      <c r="N25" s="969"/>
      <c r="O25" s="969"/>
      <c r="P25" s="969"/>
      <c r="Q25" s="970"/>
      <c r="R25" s="679">
        <f>SUM(C25:Q25)</f>
        <v>2305.7467991504791</v>
      </c>
      <c r="S25" s="67"/>
    </row>
    <row r="26" spans="1:19" s="445" customFormat="1" ht="15.75" thickBot="1">
      <c r="A26" s="682" t="s">
        <v>896</v>
      </c>
      <c r="B26" s="799"/>
      <c r="C26" s="794">
        <f>SUM(C24:C25)</f>
        <v>1966.154176206443</v>
      </c>
      <c r="D26" s="794">
        <f t="shared" ref="D26:R26" si="2">SUM(D24:D25)</f>
        <v>5133.375</v>
      </c>
      <c r="E26" s="794">
        <f t="shared" si="2"/>
        <v>1474.7720744054313</v>
      </c>
      <c r="F26" s="794">
        <f t="shared" si="2"/>
        <v>10.671826809965442</v>
      </c>
      <c r="G26" s="794">
        <f t="shared" si="2"/>
        <v>1510.4801567507384</v>
      </c>
      <c r="H26" s="794">
        <f t="shared" si="2"/>
        <v>0</v>
      </c>
      <c r="I26" s="794">
        <f t="shared" si="2"/>
        <v>0</v>
      </c>
      <c r="J26" s="794">
        <f t="shared" si="2"/>
        <v>0</v>
      </c>
      <c r="K26" s="794">
        <f t="shared" si="2"/>
        <v>91.011276184837499</v>
      </c>
      <c r="L26" s="794">
        <f t="shared" si="2"/>
        <v>0</v>
      </c>
      <c r="M26" s="794">
        <f t="shared" si="2"/>
        <v>0</v>
      </c>
      <c r="N26" s="794">
        <f t="shared" si="2"/>
        <v>0</v>
      </c>
      <c r="O26" s="794">
        <f t="shared" si="2"/>
        <v>0</v>
      </c>
      <c r="P26" s="794">
        <f t="shared" si="2"/>
        <v>0</v>
      </c>
      <c r="Q26" s="794">
        <f t="shared" si="2"/>
        <v>0</v>
      </c>
      <c r="R26" s="794">
        <f t="shared" si="2"/>
        <v>10186.464510357417</v>
      </c>
      <c r="S26" s="67"/>
    </row>
    <row r="27" spans="1:19" s="445" customFormat="1" ht="17.25" thickTop="1" thickBot="1">
      <c r="A27" s="683" t="s">
        <v>115</v>
      </c>
      <c r="B27" s="786"/>
      <c r="C27" s="684">
        <f ca="1">C22+C16+C26</f>
        <v>48021.715864458878</v>
      </c>
      <c r="D27" s="684">
        <f t="shared" ref="D27:R27" ca="1" si="3">D22+D16+D26</f>
        <v>5133.375</v>
      </c>
      <c r="E27" s="684">
        <f t="shared" ca="1" si="3"/>
        <v>53146.93986932304</v>
      </c>
      <c r="F27" s="684">
        <f t="shared" si="3"/>
        <v>1908.8706410584373</v>
      </c>
      <c r="G27" s="684">
        <f t="shared" ca="1" si="3"/>
        <v>52094.198080730101</v>
      </c>
      <c r="H27" s="684">
        <f t="shared" si="3"/>
        <v>50789.778627721687</v>
      </c>
      <c r="I27" s="684">
        <f t="shared" si="3"/>
        <v>8533.2023531988834</v>
      </c>
      <c r="J27" s="684">
        <f t="shared" si="3"/>
        <v>0</v>
      </c>
      <c r="K27" s="684">
        <f t="shared" si="3"/>
        <v>1182.7823531765816</v>
      </c>
      <c r="L27" s="684">
        <f t="shared" si="3"/>
        <v>0</v>
      </c>
      <c r="M27" s="684">
        <f t="shared" ca="1" si="3"/>
        <v>0</v>
      </c>
      <c r="N27" s="684">
        <f t="shared" si="3"/>
        <v>2580.5453749290441</v>
      </c>
      <c r="O27" s="684">
        <f t="shared" ca="1" si="3"/>
        <v>7327.4037234496491</v>
      </c>
      <c r="P27" s="684">
        <f t="shared" si="3"/>
        <v>84.420000000000016</v>
      </c>
      <c r="Q27" s="684">
        <f t="shared" si="3"/>
        <v>476.66666666666669</v>
      </c>
      <c r="R27" s="684">
        <f t="shared" ca="1" si="3"/>
        <v>231279.898554713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2031.4335996575214</v>
      </c>
      <c r="D40" s="676">
        <f ca="1">tertiair!C20</f>
        <v>0</v>
      </c>
      <c r="E40" s="676">
        <f ca="1">tertiair!D20</f>
        <v>1871.5722706467882</v>
      </c>
      <c r="F40" s="676">
        <f>tertiair!E20</f>
        <v>42.571689534993574</v>
      </c>
      <c r="G40" s="676">
        <f ca="1">tertiair!F20</f>
        <v>443.04806559384127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4388.6256254331447</v>
      </c>
    </row>
    <row r="41" spans="1:18">
      <c r="A41" s="804" t="s">
        <v>220</v>
      </c>
      <c r="B41" s="811"/>
      <c r="C41" s="676">
        <f ca="1">huishoudens!B12</f>
        <v>5716.1704848637373</v>
      </c>
      <c r="D41" s="676">
        <f ca="1">huishoudens!C12</f>
        <v>0</v>
      </c>
      <c r="E41" s="676">
        <f>huishoudens!D12</f>
        <v>7741.6484981597541</v>
      </c>
      <c r="F41" s="676">
        <f>huishoudens!E12</f>
        <v>314.62216242019946</v>
      </c>
      <c r="G41" s="676">
        <f>huishoudens!F12</f>
        <v>12631.849240930511</v>
      </c>
      <c r="H41" s="676">
        <f>huishoudens!G12</f>
        <v>0</v>
      </c>
      <c r="I41" s="676">
        <f>huishoudens!H12</f>
        <v>0</v>
      </c>
      <c r="J41" s="676">
        <f>huishoudens!I12</f>
        <v>0</v>
      </c>
      <c r="K41" s="676">
        <f>huishoudens!J12</f>
        <v>377.11901017699671</v>
      </c>
      <c r="L41" s="676">
        <f>huishoudens!K12</f>
        <v>0</v>
      </c>
      <c r="M41" s="676">
        <f>huishoudens!L12</f>
        <v>0</v>
      </c>
      <c r="N41" s="676">
        <f>huishoudens!M12</f>
        <v>0</v>
      </c>
      <c r="O41" s="676">
        <f>huishoudens!N12</f>
        <v>0</v>
      </c>
      <c r="P41" s="676">
        <f>huishoudens!O12</f>
        <v>0</v>
      </c>
      <c r="Q41" s="751">
        <f>huishoudens!P12</f>
        <v>0</v>
      </c>
      <c r="R41" s="832">
        <f t="shared" ca="1" si="4"/>
        <v>26781.4093965512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1459.7752749661249</v>
      </c>
      <c r="D43" s="676">
        <f ca="1">industrie!C22</f>
        <v>0</v>
      </c>
      <c r="E43" s="676">
        <f>industrie!D22</f>
        <v>824.02612028296414</v>
      </c>
      <c r="F43" s="676">
        <f>industrie!E22</f>
        <v>13.135142295472148</v>
      </c>
      <c r="G43" s="676">
        <f>industrie!F22</f>
        <v>430.95537917813829</v>
      </c>
      <c r="H43" s="676">
        <f>industrie!G22</f>
        <v>0</v>
      </c>
      <c r="I43" s="676">
        <f>industrie!H22</f>
        <v>0</v>
      </c>
      <c r="J43" s="676">
        <f>industrie!I22</f>
        <v>0</v>
      </c>
      <c r="K43" s="676">
        <f>industrie!J22</f>
        <v>9.3679510780807131</v>
      </c>
      <c r="L43" s="676">
        <f>industrie!K22</f>
        <v>0</v>
      </c>
      <c r="M43" s="676">
        <f>industrie!L22</f>
        <v>0</v>
      </c>
      <c r="N43" s="676">
        <f>industrie!M22</f>
        <v>0</v>
      </c>
      <c r="O43" s="676">
        <f>industrie!N22</f>
        <v>0</v>
      </c>
      <c r="P43" s="676">
        <f>industrie!O22</f>
        <v>0</v>
      </c>
      <c r="Q43" s="751">
        <f>industrie!P22</f>
        <v>0</v>
      </c>
      <c r="R43" s="831">
        <f t="shared" ca="1" si="4"/>
        <v>2737.2598678007803</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9207.3793594873841</v>
      </c>
      <c r="D46" s="709">
        <f t="shared" ref="D46:Q46" ca="1" si="5">SUM(D39:D45)</f>
        <v>0</v>
      </c>
      <c r="E46" s="709">
        <f t="shared" ca="1" si="5"/>
        <v>10437.246889089507</v>
      </c>
      <c r="F46" s="709">
        <f t="shared" si="5"/>
        <v>370.32899425066518</v>
      </c>
      <c r="G46" s="709">
        <f t="shared" ca="1" si="5"/>
        <v>13505.85268570249</v>
      </c>
      <c r="H46" s="709">
        <f t="shared" si="5"/>
        <v>0</v>
      </c>
      <c r="I46" s="709">
        <f t="shared" si="5"/>
        <v>0</v>
      </c>
      <c r="J46" s="709">
        <f t="shared" si="5"/>
        <v>0</v>
      </c>
      <c r="K46" s="709">
        <f t="shared" si="5"/>
        <v>386.4869612550774</v>
      </c>
      <c r="L46" s="709">
        <f t="shared" si="5"/>
        <v>0</v>
      </c>
      <c r="M46" s="709">
        <f t="shared" ca="1" si="5"/>
        <v>0</v>
      </c>
      <c r="N46" s="709">
        <f t="shared" si="5"/>
        <v>0</v>
      </c>
      <c r="O46" s="709">
        <f t="shared" ca="1" si="5"/>
        <v>0</v>
      </c>
      <c r="P46" s="709">
        <f t="shared" si="5"/>
        <v>0</v>
      </c>
      <c r="Q46" s="709">
        <f t="shared" si="5"/>
        <v>0</v>
      </c>
      <c r="R46" s="709">
        <f ca="1">SUM(R39:R45)</f>
        <v>33907.294889785124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0.62249978366069458</v>
      </c>
      <c r="D49" s="676">
        <f ca="1">transport!C58</f>
        <v>0</v>
      </c>
      <c r="E49" s="676">
        <f>transport!D58</f>
        <v>0</v>
      </c>
      <c r="F49" s="676">
        <f>transport!E58</f>
        <v>0</v>
      </c>
      <c r="G49" s="676">
        <f>transport!F58</f>
        <v>0</v>
      </c>
      <c r="H49" s="676">
        <f>transport!G58</f>
        <v>180.34332770475342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180.96582748841411</v>
      </c>
    </row>
    <row r="50" spans="1:18">
      <c r="A50" s="807" t="s">
        <v>302</v>
      </c>
      <c r="B50" s="817"/>
      <c r="C50" s="975">
        <f ca="1">transport!B18</f>
        <v>0.1405325606392922</v>
      </c>
      <c r="D50" s="975">
        <f>transport!C18</f>
        <v>0</v>
      </c>
      <c r="E50" s="975">
        <f>transport!D18</f>
        <v>0.53100548385017388</v>
      </c>
      <c r="F50" s="975">
        <f>transport!E18</f>
        <v>60.562136583737917</v>
      </c>
      <c r="G50" s="975">
        <f>transport!F18</f>
        <v>0</v>
      </c>
      <c r="H50" s="975">
        <f>transport!G18</f>
        <v>13380.527565896939</v>
      </c>
      <c r="I50" s="975">
        <f>transport!H18</f>
        <v>2124.7673859465222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15566.528626471689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0.76303234429998679</v>
      </c>
      <c r="D52" s="709">
        <f t="shared" ref="D52:Q52" ca="1" si="6">SUM(D48:D51)</f>
        <v>0</v>
      </c>
      <c r="E52" s="709">
        <f t="shared" si="6"/>
        <v>0.53100548385017388</v>
      </c>
      <c r="F52" s="709">
        <f t="shared" si="6"/>
        <v>60.562136583737917</v>
      </c>
      <c r="G52" s="709">
        <f t="shared" si="6"/>
        <v>0</v>
      </c>
      <c r="H52" s="709">
        <f t="shared" si="6"/>
        <v>13560.870893601692</v>
      </c>
      <c r="I52" s="709">
        <f t="shared" si="6"/>
        <v>2124.7673859465222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15747.494453960102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203.74647323007622</v>
      </c>
      <c r="D54" s="975">
        <f ca="1">+landbouw!C12</f>
        <v>403.12091911764708</v>
      </c>
      <c r="E54" s="975">
        <f>+landbouw!D12</f>
        <v>23.455938763751131</v>
      </c>
      <c r="F54" s="975">
        <f>+landbouw!E12</f>
        <v>2.4225046858621555</v>
      </c>
      <c r="G54" s="975">
        <f>+landbouw!F12</f>
        <v>403.29820185244716</v>
      </c>
      <c r="H54" s="975">
        <f>+landbouw!G12</f>
        <v>0</v>
      </c>
      <c r="I54" s="975">
        <f>+landbouw!H12</f>
        <v>0</v>
      </c>
      <c r="J54" s="975">
        <f>+landbouw!I12</f>
        <v>0</v>
      </c>
      <c r="K54" s="975">
        <f>+landbouw!J12</f>
        <v>32.217991769432473</v>
      </c>
      <c r="L54" s="975">
        <f>+landbouw!K12</f>
        <v>0</v>
      </c>
      <c r="M54" s="975">
        <f>+landbouw!L12</f>
        <v>0</v>
      </c>
      <c r="N54" s="975">
        <f>+landbouw!M12</f>
        <v>0</v>
      </c>
      <c r="O54" s="975">
        <f>+landbouw!N12</f>
        <v>0</v>
      </c>
      <c r="P54" s="975">
        <f>+landbouw!O12</f>
        <v>0</v>
      </c>
      <c r="Q54" s="976">
        <f>+landbouw!P12</f>
        <v>0</v>
      </c>
      <c r="R54" s="708">
        <f ca="1">SUM(C54:Q54)</f>
        <v>1068.2620294192161</v>
      </c>
    </row>
    <row r="55" spans="1:18" ht="15" thickBot="1">
      <c r="A55" s="807" t="s">
        <v>895</v>
      </c>
      <c r="B55" s="817"/>
      <c r="C55" s="975">
        <f ca="1">C25*'EF ele_warmte'!B12</f>
        <v>189.35757229981391</v>
      </c>
      <c r="D55" s="975"/>
      <c r="E55" s="975">
        <f>E25*EF_CO2_aardgas</f>
        <v>274.44802026614599</v>
      </c>
      <c r="F55" s="975"/>
      <c r="G55" s="975"/>
      <c r="H55" s="975"/>
      <c r="I55" s="975"/>
      <c r="J55" s="975"/>
      <c r="K55" s="975"/>
      <c r="L55" s="975"/>
      <c r="M55" s="975"/>
      <c r="N55" s="975"/>
      <c r="O55" s="975"/>
      <c r="P55" s="975"/>
      <c r="Q55" s="976"/>
      <c r="R55" s="708">
        <f ca="1">SUM(C55:Q55)</f>
        <v>463.8055925659599</v>
      </c>
    </row>
    <row r="56" spans="1:18" ht="15.75" thickBot="1">
      <c r="A56" s="805" t="s">
        <v>896</v>
      </c>
      <c r="B56" s="818"/>
      <c r="C56" s="709">
        <f ca="1">SUM(C54:C55)</f>
        <v>393.10404552989013</v>
      </c>
      <c r="D56" s="709">
        <f t="shared" ref="D56:Q56" ca="1" si="7">SUM(D54:D55)</f>
        <v>403.12091911764708</v>
      </c>
      <c r="E56" s="709">
        <f t="shared" si="7"/>
        <v>297.90395902989712</v>
      </c>
      <c r="F56" s="709">
        <f t="shared" si="7"/>
        <v>2.4225046858621555</v>
      </c>
      <c r="G56" s="709">
        <f t="shared" si="7"/>
        <v>403.29820185244716</v>
      </c>
      <c r="H56" s="709">
        <f t="shared" si="7"/>
        <v>0</v>
      </c>
      <c r="I56" s="709">
        <f t="shared" si="7"/>
        <v>0</v>
      </c>
      <c r="J56" s="709">
        <f t="shared" si="7"/>
        <v>0</v>
      </c>
      <c r="K56" s="709">
        <f t="shared" si="7"/>
        <v>32.217991769432473</v>
      </c>
      <c r="L56" s="709">
        <f t="shared" si="7"/>
        <v>0</v>
      </c>
      <c r="M56" s="709">
        <f t="shared" si="7"/>
        <v>0</v>
      </c>
      <c r="N56" s="709">
        <f t="shared" si="7"/>
        <v>0</v>
      </c>
      <c r="O56" s="709">
        <f t="shared" si="7"/>
        <v>0</v>
      </c>
      <c r="P56" s="709">
        <f t="shared" si="7"/>
        <v>0</v>
      </c>
      <c r="Q56" s="710">
        <f t="shared" si="7"/>
        <v>0</v>
      </c>
      <c r="R56" s="711">
        <f ca="1">SUM(R54:R55)</f>
        <v>1532.0676219851759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9601.2464373615749</v>
      </c>
      <c r="D61" s="717">
        <f t="shared" ref="D61:Q61" ca="1" si="8">D46+D52+D56</f>
        <v>403.12091911764708</v>
      </c>
      <c r="E61" s="717">
        <f t="shared" ca="1" si="8"/>
        <v>10735.681853603255</v>
      </c>
      <c r="F61" s="717">
        <f t="shared" si="8"/>
        <v>433.31363552026528</v>
      </c>
      <c r="G61" s="717">
        <f t="shared" ca="1" si="8"/>
        <v>13909.150887554937</v>
      </c>
      <c r="H61" s="717">
        <f t="shared" si="8"/>
        <v>13560.870893601692</v>
      </c>
      <c r="I61" s="717">
        <f t="shared" si="8"/>
        <v>2124.7673859465222</v>
      </c>
      <c r="J61" s="717">
        <f t="shared" si="8"/>
        <v>0</v>
      </c>
      <c r="K61" s="717">
        <f t="shared" si="8"/>
        <v>418.7049530245099</v>
      </c>
      <c r="L61" s="717">
        <f t="shared" si="8"/>
        <v>0</v>
      </c>
      <c r="M61" s="717">
        <f t="shared" ca="1" si="8"/>
        <v>0</v>
      </c>
      <c r="N61" s="717">
        <f t="shared" si="8"/>
        <v>0</v>
      </c>
      <c r="O61" s="717">
        <f t="shared" ca="1" si="8"/>
        <v>0</v>
      </c>
      <c r="P61" s="717">
        <f t="shared" si="8"/>
        <v>0</v>
      </c>
      <c r="Q61" s="717">
        <f t="shared" si="8"/>
        <v>0</v>
      </c>
      <c r="R61" s="717">
        <f ca="1">R46+R52+R56</f>
        <v>51186.856965730403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0.19993551385088068</v>
      </c>
      <c r="D63" s="761">
        <f t="shared" ca="1" si="9"/>
        <v>7.8529411764705889E-2</v>
      </c>
      <c r="E63" s="977">
        <f t="shared" ca="1" si="9"/>
        <v>0.20200000000000001</v>
      </c>
      <c r="F63" s="761">
        <f t="shared" si="9"/>
        <v>0.22700000000000001</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1635.5632333311896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3422.25</v>
      </c>
      <c r="C76" s="727">
        <f>'lokale energieproductie'!B8*IFERROR(SUM(D76:H76)/SUM(D76:O76),0)</f>
        <v>1140.75</v>
      </c>
      <c r="D76" s="987">
        <f>'lokale energieproductie'!C8</f>
        <v>0</v>
      </c>
      <c r="E76" s="988">
        <f>'lokale energieproductie'!D8</f>
        <v>0</v>
      </c>
      <c r="F76" s="988">
        <f>'lokale energieproductie'!E8</f>
        <v>1342.0588235294117</v>
      </c>
      <c r="G76" s="988">
        <f>'lokale energieproductie'!F8</f>
        <v>0</v>
      </c>
      <c r="H76" s="988">
        <f>'lokale energieproductie'!G8</f>
        <v>0</v>
      </c>
      <c r="I76" s="988">
        <f>'lokale energieproductie'!I8</f>
        <v>4026.1764705882351</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358.32970588235293</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5057.8132333311896</v>
      </c>
      <c r="C78" s="732">
        <f>SUM(C72:C77)</f>
        <v>1140.75</v>
      </c>
      <c r="D78" s="733">
        <f t="shared" ref="D78:H78" si="10">SUM(D76:D77)</f>
        <v>0</v>
      </c>
      <c r="E78" s="733">
        <f t="shared" si="10"/>
        <v>0</v>
      </c>
      <c r="F78" s="733">
        <f t="shared" si="10"/>
        <v>1342.0588235294117</v>
      </c>
      <c r="G78" s="733">
        <f t="shared" si="10"/>
        <v>0</v>
      </c>
      <c r="H78" s="733">
        <f t="shared" si="10"/>
        <v>0</v>
      </c>
      <c r="I78" s="733">
        <f>SUM(I76:I77)</f>
        <v>4026.1764705882351</v>
      </c>
      <c r="J78" s="733">
        <f>SUM(J76:J77)</f>
        <v>0</v>
      </c>
      <c r="K78" s="733">
        <f t="shared" ref="K78:L78" si="11">SUM(K76:K77)</f>
        <v>0</v>
      </c>
      <c r="L78" s="733">
        <f t="shared" si="11"/>
        <v>0</v>
      </c>
      <c r="M78" s="733">
        <f>SUM(M76:M77)</f>
        <v>0</v>
      </c>
      <c r="N78" s="733">
        <f>SUM(N76:N77)</f>
        <v>0</v>
      </c>
      <c r="O78" s="842">
        <f>SUM(O76:O77)</f>
        <v>0</v>
      </c>
      <c r="P78" s="734">
        <v>0</v>
      </c>
      <c r="Q78" s="734">
        <f>SUM(Q76:Q77)</f>
        <v>358.32970588235293</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3850.03125</v>
      </c>
      <c r="C87" s="743">
        <f>'lokale energieproductie'!B17*IFERROR(SUM(D87:H87)/SUM(D87:O87),0)</f>
        <v>1283.34375</v>
      </c>
      <c r="D87" s="754">
        <f>'lokale energieproductie'!C17</f>
        <v>0</v>
      </c>
      <c r="E87" s="754">
        <f>'lokale energieproductie'!D17</f>
        <v>0</v>
      </c>
      <c r="F87" s="754">
        <f>'lokale energieproductie'!E17</f>
        <v>1509.8161764705883</v>
      </c>
      <c r="G87" s="754">
        <f>'lokale energieproductie'!F17</f>
        <v>0</v>
      </c>
      <c r="H87" s="754">
        <f>'lokale energieproductie'!G17</f>
        <v>0</v>
      </c>
      <c r="I87" s="754">
        <f>'lokale energieproductie'!I17</f>
        <v>4529.4485294117649</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403.12091911764708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3850.03125</v>
      </c>
      <c r="C90" s="732">
        <f>SUM(C87:C89)</f>
        <v>1283.34375</v>
      </c>
      <c r="D90" s="732">
        <f t="shared" ref="D90:H90" si="12">SUM(D87:D89)</f>
        <v>0</v>
      </c>
      <c r="E90" s="732">
        <f t="shared" si="12"/>
        <v>0</v>
      </c>
      <c r="F90" s="732">
        <f t="shared" si="12"/>
        <v>1509.8161764705883</v>
      </c>
      <c r="G90" s="732">
        <f t="shared" si="12"/>
        <v>0</v>
      </c>
      <c r="H90" s="732">
        <f t="shared" si="12"/>
        <v>0</v>
      </c>
      <c r="I90" s="732">
        <f>SUM(I87:I89)</f>
        <v>4529.4485294117649</v>
      </c>
      <c r="J90" s="732">
        <f>SUM(J87:J89)</f>
        <v>0</v>
      </c>
      <c r="K90" s="732">
        <f t="shared" ref="K90:L90" si="13">SUM(K87:K89)</f>
        <v>0</v>
      </c>
      <c r="L90" s="732">
        <f t="shared" si="13"/>
        <v>0</v>
      </c>
      <c r="M90" s="732">
        <f>SUM(M87:M89)</f>
        <v>0</v>
      </c>
      <c r="N90" s="732">
        <f>SUM(N87:N89)</f>
        <v>0</v>
      </c>
      <c r="O90" s="732">
        <f>SUM(O87:O89)</f>
        <v>0</v>
      </c>
      <c r="P90" s="732">
        <v>0</v>
      </c>
      <c r="Q90" s="732">
        <f>SUM(Q87:Q89)</f>
        <v>403.12091911764708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28590.070742144741</v>
      </c>
      <c r="C4" s="449">
        <f>huishoudens!C8</f>
        <v>0</v>
      </c>
      <c r="D4" s="449">
        <f>huishoudens!D8</f>
        <v>38324.992565147295</v>
      </c>
      <c r="E4" s="449">
        <f>huishoudens!E8</f>
        <v>1386.0007155074866</v>
      </c>
      <c r="F4" s="449">
        <f>huishoudens!F8</f>
        <v>47310.296782511272</v>
      </c>
      <c r="G4" s="449">
        <f>huishoudens!G8</f>
        <v>0</v>
      </c>
      <c r="H4" s="449">
        <f>huishoudens!H8</f>
        <v>0</v>
      </c>
      <c r="I4" s="449">
        <f>huishoudens!I8</f>
        <v>0</v>
      </c>
      <c r="J4" s="449">
        <f>huishoudens!J8</f>
        <v>1065.3079383530981</v>
      </c>
      <c r="K4" s="449">
        <f>huishoudens!K8</f>
        <v>0</v>
      </c>
      <c r="L4" s="449">
        <f>huishoudens!L8</f>
        <v>0</v>
      </c>
      <c r="M4" s="449">
        <f>huishoudens!M8</f>
        <v>0</v>
      </c>
      <c r="N4" s="449">
        <f>huishoudens!N8</f>
        <v>6808.2462691835472</v>
      </c>
      <c r="O4" s="449">
        <f>huishoudens!O8</f>
        <v>82.856666666666683</v>
      </c>
      <c r="P4" s="450">
        <f>huishoudens!P8</f>
        <v>457.6</v>
      </c>
      <c r="Q4" s="451">
        <f>SUM(B4:P4)</f>
        <v>124025.37167951412</v>
      </c>
    </row>
    <row r="5" spans="1:17">
      <c r="A5" s="448" t="s">
        <v>155</v>
      </c>
      <c r="B5" s="449">
        <f ca="1">tertiair!B16</f>
        <v>9223.7750378343208</v>
      </c>
      <c r="C5" s="449">
        <f ca="1">tertiair!C16</f>
        <v>0</v>
      </c>
      <c r="D5" s="449">
        <f ca="1">tertiair!D16</f>
        <v>9265.2092606276638</v>
      </c>
      <c r="E5" s="449">
        <f>tertiair!E16</f>
        <v>187.54048253301133</v>
      </c>
      <c r="F5" s="449">
        <f ca="1">tertiair!F16</f>
        <v>1659.3560509132631</v>
      </c>
      <c r="G5" s="449">
        <f>tertiair!G16</f>
        <v>0</v>
      </c>
      <c r="H5" s="449">
        <f>tertiair!H16</f>
        <v>0</v>
      </c>
      <c r="I5" s="449">
        <f>tertiair!I16</f>
        <v>0</v>
      </c>
      <c r="J5" s="449">
        <f>tertiair!J16</f>
        <v>0</v>
      </c>
      <c r="K5" s="449">
        <f>tertiair!K16</f>
        <v>0</v>
      </c>
      <c r="L5" s="449">
        <f ca="1">tertiair!L16</f>
        <v>0</v>
      </c>
      <c r="M5" s="449">
        <f>tertiair!M16</f>
        <v>0</v>
      </c>
      <c r="N5" s="449">
        <f ca="1">tertiair!N16</f>
        <v>358.20821150623857</v>
      </c>
      <c r="O5" s="449">
        <f>tertiair!O16</f>
        <v>1.5633333333333335</v>
      </c>
      <c r="P5" s="450">
        <f>tertiair!P16</f>
        <v>19.066666666666666</v>
      </c>
      <c r="Q5" s="448">
        <f t="shared" ref="Q5:Q14" ca="1" si="0">SUM(B5:P5)</f>
        <v>20714.719043414494</v>
      </c>
    </row>
    <row r="6" spans="1:17">
      <c r="A6" s="448" t="s">
        <v>193</v>
      </c>
      <c r="B6" s="449">
        <f>'openbare verlichting'!B8</f>
        <v>936.66899999999998</v>
      </c>
      <c r="C6" s="449"/>
      <c r="D6" s="449"/>
      <c r="E6" s="449"/>
      <c r="F6" s="449"/>
      <c r="G6" s="449"/>
      <c r="H6" s="449"/>
      <c r="I6" s="449"/>
      <c r="J6" s="449"/>
      <c r="K6" s="449"/>
      <c r="L6" s="449"/>
      <c r="M6" s="449"/>
      <c r="N6" s="449"/>
      <c r="O6" s="449"/>
      <c r="P6" s="450"/>
      <c r="Q6" s="448">
        <f t="shared" si="0"/>
        <v>936.66899999999998</v>
      </c>
    </row>
    <row r="7" spans="1:17">
      <c r="A7" s="448" t="s">
        <v>111</v>
      </c>
      <c r="B7" s="449">
        <f>landbouw!B8</f>
        <v>1019.060942729954</v>
      </c>
      <c r="C7" s="449">
        <f>landbouw!C8</f>
        <v>5133.375</v>
      </c>
      <c r="D7" s="449">
        <f>landbouw!D8</f>
        <v>116.11850873144124</v>
      </c>
      <c r="E7" s="449">
        <f>landbouw!E8</f>
        <v>10.671826809965442</v>
      </c>
      <c r="F7" s="449">
        <f>landbouw!F8</f>
        <v>1510.4801567507384</v>
      </c>
      <c r="G7" s="449">
        <f>landbouw!G8</f>
        <v>0</v>
      </c>
      <c r="H7" s="449">
        <f>landbouw!H8</f>
        <v>0</v>
      </c>
      <c r="I7" s="449">
        <f>landbouw!I8</f>
        <v>0</v>
      </c>
      <c r="J7" s="449">
        <f>landbouw!J8</f>
        <v>91.011276184837499</v>
      </c>
      <c r="K7" s="449">
        <f>landbouw!K8</f>
        <v>0</v>
      </c>
      <c r="L7" s="449">
        <f>landbouw!L8</f>
        <v>0</v>
      </c>
      <c r="M7" s="449">
        <f>landbouw!M8</f>
        <v>0</v>
      </c>
      <c r="N7" s="449">
        <f>landbouw!N8</f>
        <v>0</v>
      </c>
      <c r="O7" s="449">
        <f>landbouw!O8</f>
        <v>0</v>
      </c>
      <c r="P7" s="450">
        <f>landbouw!P8</f>
        <v>0</v>
      </c>
      <c r="Q7" s="448">
        <f t="shared" si="0"/>
        <v>7880.7177112069376</v>
      </c>
    </row>
    <row r="8" spans="1:17">
      <c r="A8" s="448" t="s">
        <v>643</v>
      </c>
      <c r="B8" s="449">
        <f>industrie!B18</f>
        <v>7301.2305160296819</v>
      </c>
      <c r="C8" s="449">
        <f>industrie!C18</f>
        <v>0</v>
      </c>
      <c r="D8" s="449">
        <f>industrie!D18</f>
        <v>4079.3372291235846</v>
      </c>
      <c r="E8" s="449">
        <f>industrie!E18</f>
        <v>57.864062975648224</v>
      </c>
      <c r="F8" s="449">
        <f>industrie!F18</f>
        <v>1614.065090554825</v>
      </c>
      <c r="G8" s="449">
        <f>industrie!G18</f>
        <v>0</v>
      </c>
      <c r="H8" s="449">
        <f>industrie!H18</f>
        <v>0</v>
      </c>
      <c r="I8" s="449">
        <f>industrie!I18</f>
        <v>0</v>
      </c>
      <c r="J8" s="449">
        <f>industrie!J18</f>
        <v>26.463138638646086</v>
      </c>
      <c r="K8" s="449">
        <f>industrie!K18</f>
        <v>0</v>
      </c>
      <c r="L8" s="449">
        <f>industrie!L18</f>
        <v>0</v>
      </c>
      <c r="M8" s="449">
        <f>industrie!M18</f>
        <v>0</v>
      </c>
      <c r="N8" s="449">
        <f>industrie!N18</f>
        <v>160.94924275986375</v>
      </c>
      <c r="O8" s="449">
        <f>industrie!O18</f>
        <v>0</v>
      </c>
      <c r="P8" s="450">
        <f>industrie!P18</f>
        <v>0</v>
      </c>
      <c r="Q8" s="448">
        <f t="shared" si="0"/>
        <v>13239.909280082249</v>
      </c>
    </row>
    <row r="9" spans="1:17" s="454" customFormat="1">
      <c r="A9" s="452" t="s">
        <v>562</v>
      </c>
      <c r="B9" s="453">
        <f>transport!B14</f>
        <v>0.70288943636149914</v>
      </c>
      <c r="C9" s="453">
        <f>transport!C14</f>
        <v>0</v>
      </c>
      <c r="D9" s="453">
        <f>transport!D14</f>
        <v>2.6287400190602668</v>
      </c>
      <c r="E9" s="453">
        <f>transport!E14</f>
        <v>266.79355323232562</v>
      </c>
      <c r="F9" s="453">
        <f>transport!F14</f>
        <v>0</v>
      </c>
      <c r="G9" s="453">
        <f>transport!G14</f>
        <v>50114.335452797517</v>
      </c>
      <c r="H9" s="453">
        <f>transport!H14</f>
        <v>8533.2023531988834</v>
      </c>
      <c r="I9" s="453">
        <f>transport!I14</f>
        <v>0</v>
      </c>
      <c r="J9" s="453">
        <f>transport!J14</f>
        <v>0</v>
      </c>
      <c r="K9" s="453">
        <f>transport!K14</f>
        <v>0</v>
      </c>
      <c r="L9" s="453">
        <f>transport!L14</f>
        <v>0</v>
      </c>
      <c r="M9" s="453">
        <f>transport!M14</f>
        <v>2551.6254927242303</v>
      </c>
      <c r="N9" s="453">
        <f>transport!N14</f>
        <v>0</v>
      </c>
      <c r="O9" s="453">
        <f>transport!O14</f>
        <v>0</v>
      </c>
      <c r="P9" s="453">
        <f>transport!P14</f>
        <v>0</v>
      </c>
      <c r="Q9" s="452">
        <f>SUM(B9:P9)</f>
        <v>61469.288481408381</v>
      </c>
    </row>
    <row r="10" spans="1:17">
      <c r="A10" s="448" t="s">
        <v>552</v>
      </c>
      <c r="B10" s="449">
        <f>transport!B54</f>
        <v>3.1135028073350597</v>
      </c>
      <c r="C10" s="449">
        <f>transport!C54</f>
        <v>0</v>
      </c>
      <c r="D10" s="449">
        <f>transport!D54</f>
        <v>0</v>
      </c>
      <c r="E10" s="449">
        <f>transport!E54</f>
        <v>0</v>
      </c>
      <c r="F10" s="449">
        <f>transport!F54</f>
        <v>0</v>
      </c>
      <c r="G10" s="449">
        <f>transport!G54</f>
        <v>675.44317492417008</v>
      </c>
      <c r="H10" s="449">
        <f>transport!H54</f>
        <v>0</v>
      </c>
      <c r="I10" s="449">
        <f>transport!I54</f>
        <v>0</v>
      </c>
      <c r="J10" s="449">
        <f>transport!J54</f>
        <v>0</v>
      </c>
      <c r="K10" s="449">
        <f>transport!K54</f>
        <v>0</v>
      </c>
      <c r="L10" s="449">
        <f>transport!L54</f>
        <v>0</v>
      </c>
      <c r="M10" s="449">
        <f>transport!M54</f>
        <v>28.919882204813998</v>
      </c>
      <c r="N10" s="449">
        <f>transport!N54</f>
        <v>0</v>
      </c>
      <c r="O10" s="449">
        <f>transport!O54</f>
        <v>0</v>
      </c>
      <c r="P10" s="450">
        <f>transport!P54</f>
        <v>0</v>
      </c>
      <c r="Q10" s="448">
        <f t="shared" si="0"/>
        <v>707.47655993631918</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947.09323347648899</v>
      </c>
      <c r="C14" s="456"/>
      <c r="D14" s="456">
        <f>'SEAP template'!E25</f>
        <v>1358.65356567399</v>
      </c>
      <c r="E14" s="456"/>
      <c r="F14" s="456"/>
      <c r="G14" s="456"/>
      <c r="H14" s="456"/>
      <c r="I14" s="456"/>
      <c r="J14" s="456"/>
      <c r="K14" s="456"/>
      <c r="L14" s="456"/>
      <c r="M14" s="456"/>
      <c r="N14" s="456"/>
      <c r="O14" s="456"/>
      <c r="P14" s="457"/>
      <c r="Q14" s="448">
        <f t="shared" si="0"/>
        <v>2305.7467991504791</v>
      </c>
    </row>
    <row r="15" spans="1:17" s="461" customFormat="1">
      <c r="A15" s="458" t="s">
        <v>556</v>
      </c>
      <c r="B15" s="459">
        <f ca="1">SUM(B4:B14)</f>
        <v>48021.715864458885</v>
      </c>
      <c r="C15" s="459">
        <f t="shared" ref="C15:Q15" ca="1" si="1">SUM(C4:C14)</f>
        <v>5133.375</v>
      </c>
      <c r="D15" s="459">
        <f t="shared" ca="1" si="1"/>
        <v>53146.93986932304</v>
      </c>
      <c r="E15" s="459">
        <f t="shared" si="1"/>
        <v>1908.8706410584373</v>
      </c>
      <c r="F15" s="459">
        <f t="shared" ca="1" si="1"/>
        <v>52094.198080730101</v>
      </c>
      <c r="G15" s="459">
        <f t="shared" si="1"/>
        <v>50789.778627721687</v>
      </c>
      <c r="H15" s="459">
        <f t="shared" si="1"/>
        <v>8533.2023531988834</v>
      </c>
      <c r="I15" s="459">
        <f t="shared" si="1"/>
        <v>0</v>
      </c>
      <c r="J15" s="459">
        <f t="shared" si="1"/>
        <v>1182.7823531765816</v>
      </c>
      <c r="K15" s="459">
        <f t="shared" si="1"/>
        <v>0</v>
      </c>
      <c r="L15" s="459">
        <f t="shared" ca="1" si="1"/>
        <v>0</v>
      </c>
      <c r="M15" s="459">
        <f t="shared" si="1"/>
        <v>2580.5453749290441</v>
      </c>
      <c r="N15" s="459">
        <f t="shared" ca="1" si="1"/>
        <v>7327.4037234496491</v>
      </c>
      <c r="O15" s="459">
        <f t="shared" si="1"/>
        <v>84.420000000000016</v>
      </c>
      <c r="P15" s="459">
        <f t="shared" si="1"/>
        <v>476.66666666666669</v>
      </c>
      <c r="Q15" s="459">
        <f t="shared" ca="1" si="1"/>
        <v>231279.89855471297</v>
      </c>
    </row>
    <row r="17" spans="1:17">
      <c r="A17" s="462" t="s">
        <v>557</v>
      </c>
      <c r="B17" s="766">
        <f ca="1">huishoudens!B10</f>
        <v>0.19993551385088065</v>
      </c>
      <c r="C17" s="766">
        <f ca="1">huishoudens!C10</f>
        <v>7.8529411764705889E-2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5716.1704848637373</v>
      </c>
      <c r="C22" s="449">
        <f t="shared" ref="C22:C32" ca="1" si="3">C4*$C$17</f>
        <v>0</v>
      </c>
      <c r="D22" s="449">
        <f t="shared" ref="D22:D32" si="4">D4*$D$17</f>
        <v>7741.6484981597541</v>
      </c>
      <c r="E22" s="449">
        <f t="shared" ref="E22:E32" si="5">E4*$E$17</f>
        <v>314.62216242019946</v>
      </c>
      <c r="F22" s="449">
        <f t="shared" ref="F22:F32" si="6">F4*$F$17</f>
        <v>12631.849240930511</v>
      </c>
      <c r="G22" s="449">
        <f t="shared" ref="G22:G32" si="7">G4*$G$17</f>
        <v>0</v>
      </c>
      <c r="H22" s="449">
        <f t="shared" ref="H22:H32" si="8">H4*$H$17</f>
        <v>0</v>
      </c>
      <c r="I22" s="449">
        <f t="shared" ref="I22:I32" si="9">I4*$I$17</f>
        <v>0</v>
      </c>
      <c r="J22" s="449">
        <f t="shared" ref="J22:J32" si="10">J4*$J$17</f>
        <v>377.11901017699671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26781.4093965512</v>
      </c>
    </row>
    <row r="23" spans="1:17">
      <c r="A23" s="448" t="s">
        <v>155</v>
      </c>
      <c r="B23" s="449">
        <f t="shared" ca="1" si="2"/>
        <v>1844.160201834331</v>
      </c>
      <c r="C23" s="449">
        <f t="shared" ca="1" si="3"/>
        <v>0</v>
      </c>
      <c r="D23" s="449">
        <f t="shared" ca="1" si="4"/>
        <v>1871.5722706467882</v>
      </c>
      <c r="E23" s="449">
        <f t="shared" si="5"/>
        <v>42.571689534993574</v>
      </c>
      <c r="F23" s="449">
        <f t="shared" ca="1" si="6"/>
        <v>443.04806559384127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4201.3522276099538</v>
      </c>
    </row>
    <row r="24" spans="1:17">
      <c r="A24" s="448" t="s">
        <v>193</v>
      </c>
      <c r="B24" s="449">
        <f t="shared" ca="1" si="2"/>
        <v>187.27339782319052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187.27339782319052</v>
      </c>
    </row>
    <row r="25" spans="1:17">
      <c r="A25" s="448" t="s">
        <v>111</v>
      </c>
      <c r="B25" s="449">
        <f t="shared" ca="1" si="2"/>
        <v>203.74647323007622</v>
      </c>
      <c r="C25" s="449">
        <f t="shared" ca="1" si="3"/>
        <v>403.12091911764708</v>
      </c>
      <c r="D25" s="449">
        <f t="shared" si="4"/>
        <v>23.455938763751131</v>
      </c>
      <c r="E25" s="449">
        <f t="shared" si="5"/>
        <v>2.4225046858621555</v>
      </c>
      <c r="F25" s="449">
        <f t="shared" si="6"/>
        <v>403.29820185244716</v>
      </c>
      <c r="G25" s="449">
        <f t="shared" si="7"/>
        <v>0</v>
      </c>
      <c r="H25" s="449">
        <f t="shared" si="8"/>
        <v>0</v>
      </c>
      <c r="I25" s="449">
        <f t="shared" si="9"/>
        <v>0</v>
      </c>
      <c r="J25" s="449">
        <f t="shared" si="10"/>
        <v>32.217991769432473</v>
      </c>
      <c r="K25" s="449">
        <f t="shared" si="11"/>
        <v>0</v>
      </c>
      <c r="L25" s="449">
        <f t="shared" si="12"/>
        <v>0</v>
      </c>
      <c r="M25" s="449">
        <f t="shared" si="13"/>
        <v>0</v>
      </c>
      <c r="N25" s="449">
        <f t="shared" si="14"/>
        <v>0</v>
      </c>
      <c r="O25" s="449">
        <f t="shared" si="15"/>
        <v>0</v>
      </c>
      <c r="P25" s="450">
        <f t="shared" si="16"/>
        <v>0</v>
      </c>
      <c r="Q25" s="448">
        <f t="shared" ca="1" si="17"/>
        <v>1068.2620294192161</v>
      </c>
    </row>
    <row r="26" spans="1:17">
      <c r="A26" s="448" t="s">
        <v>643</v>
      </c>
      <c r="B26" s="449">
        <f t="shared" ca="1" si="2"/>
        <v>1459.7752749661249</v>
      </c>
      <c r="C26" s="449">
        <f t="shared" ca="1" si="3"/>
        <v>0</v>
      </c>
      <c r="D26" s="449">
        <f t="shared" si="4"/>
        <v>824.02612028296414</v>
      </c>
      <c r="E26" s="449">
        <f t="shared" si="5"/>
        <v>13.135142295472148</v>
      </c>
      <c r="F26" s="449">
        <f t="shared" si="6"/>
        <v>430.95537917813829</v>
      </c>
      <c r="G26" s="449">
        <f t="shared" si="7"/>
        <v>0</v>
      </c>
      <c r="H26" s="449">
        <f t="shared" si="8"/>
        <v>0</v>
      </c>
      <c r="I26" s="449">
        <f t="shared" si="9"/>
        <v>0</v>
      </c>
      <c r="J26" s="449">
        <f t="shared" si="10"/>
        <v>9.3679510780807131</v>
      </c>
      <c r="K26" s="449">
        <f t="shared" si="11"/>
        <v>0</v>
      </c>
      <c r="L26" s="449">
        <f t="shared" si="12"/>
        <v>0</v>
      </c>
      <c r="M26" s="449">
        <f t="shared" si="13"/>
        <v>0</v>
      </c>
      <c r="N26" s="449">
        <f t="shared" si="14"/>
        <v>0</v>
      </c>
      <c r="O26" s="449">
        <f t="shared" si="15"/>
        <v>0</v>
      </c>
      <c r="P26" s="450">
        <f t="shared" si="16"/>
        <v>0</v>
      </c>
      <c r="Q26" s="448">
        <f t="shared" ca="1" si="17"/>
        <v>2737.2598678007803</v>
      </c>
    </row>
    <row r="27" spans="1:17" s="454" customFormat="1">
      <c r="A27" s="452" t="s">
        <v>562</v>
      </c>
      <c r="B27" s="760">
        <f t="shared" ca="1" si="2"/>
        <v>0.1405325606392922</v>
      </c>
      <c r="C27" s="453">
        <f t="shared" ca="1" si="3"/>
        <v>0</v>
      </c>
      <c r="D27" s="453">
        <f t="shared" si="4"/>
        <v>0.53100548385017388</v>
      </c>
      <c r="E27" s="453">
        <f t="shared" si="5"/>
        <v>60.562136583737917</v>
      </c>
      <c r="F27" s="453">
        <f t="shared" si="6"/>
        <v>0</v>
      </c>
      <c r="G27" s="453">
        <f t="shared" si="7"/>
        <v>13380.527565896939</v>
      </c>
      <c r="H27" s="453">
        <f t="shared" si="8"/>
        <v>2124.7673859465222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15566.528626471689</v>
      </c>
    </row>
    <row r="28" spans="1:17">
      <c r="A28" s="448" t="s">
        <v>552</v>
      </c>
      <c r="B28" s="449">
        <f t="shared" ca="1" si="2"/>
        <v>0.62249978366069458</v>
      </c>
      <c r="C28" s="449">
        <f t="shared" ca="1" si="3"/>
        <v>0</v>
      </c>
      <c r="D28" s="449">
        <f t="shared" si="4"/>
        <v>0</v>
      </c>
      <c r="E28" s="449">
        <f t="shared" si="5"/>
        <v>0</v>
      </c>
      <c r="F28" s="449">
        <f t="shared" si="6"/>
        <v>0</v>
      </c>
      <c r="G28" s="449">
        <f t="shared" si="7"/>
        <v>180.34332770475342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180.96582748841411</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189.35757229981391</v>
      </c>
      <c r="C32" s="449">
        <f t="shared" ca="1" si="3"/>
        <v>0</v>
      </c>
      <c r="D32" s="449">
        <f t="shared" si="4"/>
        <v>274.44802026614599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463.8055925659599</v>
      </c>
    </row>
    <row r="33" spans="1:17" s="461" customFormat="1">
      <c r="A33" s="458" t="s">
        <v>556</v>
      </c>
      <c r="B33" s="459">
        <f ca="1">SUM(B22:B32)</f>
        <v>9601.246437361573</v>
      </c>
      <c r="C33" s="459">
        <f t="shared" ref="C33:Q33" ca="1" si="19">SUM(C22:C32)</f>
        <v>403.12091911764708</v>
      </c>
      <c r="D33" s="459">
        <f t="shared" ca="1" si="19"/>
        <v>10735.681853603253</v>
      </c>
      <c r="E33" s="459">
        <f t="shared" si="19"/>
        <v>433.31363552026528</v>
      </c>
      <c r="F33" s="459">
        <f t="shared" ca="1" si="19"/>
        <v>13909.150887554937</v>
      </c>
      <c r="G33" s="459">
        <f t="shared" si="19"/>
        <v>13560.870893601692</v>
      </c>
      <c r="H33" s="459">
        <f t="shared" si="19"/>
        <v>2124.7673859465222</v>
      </c>
      <c r="I33" s="459">
        <f t="shared" si="19"/>
        <v>0</v>
      </c>
      <c r="J33" s="459">
        <f t="shared" si="19"/>
        <v>418.70495302450985</v>
      </c>
      <c r="K33" s="459">
        <f t="shared" si="19"/>
        <v>0</v>
      </c>
      <c r="L33" s="459">
        <f t="shared" ca="1" si="19"/>
        <v>0</v>
      </c>
      <c r="M33" s="459">
        <f t="shared" si="19"/>
        <v>0</v>
      </c>
      <c r="N33" s="459">
        <f t="shared" ca="1" si="19"/>
        <v>0</v>
      </c>
      <c r="O33" s="459">
        <f t="shared" si="19"/>
        <v>0</v>
      </c>
      <c r="P33" s="459">
        <f t="shared" si="19"/>
        <v>0</v>
      </c>
      <c r="Q33" s="459">
        <f t="shared" ca="1" si="19"/>
        <v>51186.856965730403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1635.5632333311896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3422.25</v>
      </c>
      <c r="C8" s="1008">
        <f>'SEAP template'!C76</f>
        <v>1140.75</v>
      </c>
      <c r="D8" s="1008">
        <f>'SEAP template'!D76</f>
        <v>0</v>
      </c>
      <c r="E8" s="1008">
        <f>'SEAP template'!E76</f>
        <v>0</v>
      </c>
      <c r="F8" s="1008">
        <f>'SEAP template'!F76</f>
        <v>1342.0588235294117</v>
      </c>
      <c r="G8" s="1008">
        <f>'SEAP template'!G76</f>
        <v>0</v>
      </c>
      <c r="H8" s="1008">
        <f>'SEAP template'!H76</f>
        <v>0</v>
      </c>
      <c r="I8" s="1008">
        <f>'SEAP template'!I76</f>
        <v>4026.1764705882351</v>
      </c>
      <c r="J8" s="1008">
        <f>'SEAP template'!J76</f>
        <v>0</v>
      </c>
      <c r="K8" s="1008">
        <f>'SEAP template'!K76</f>
        <v>0</v>
      </c>
      <c r="L8" s="1008">
        <f>'SEAP template'!L76</f>
        <v>0</v>
      </c>
      <c r="M8" s="1008">
        <f>'SEAP template'!M76</f>
        <v>0</v>
      </c>
      <c r="N8" s="1008">
        <f>'SEAP template'!N76</f>
        <v>0</v>
      </c>
      <c r="O8" s="1008">
        <f>'SEAP template'!O76</f>
        <v>0</v>
      </c>
      <c r="P8" s="1009">
        <f>'SEAP template'!Q76</f>
        <v>358.32970588235293</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5057.8132333311896</v>
      </c>
      <c r="C10" s="1012">
        <f>SUM(C4:C9)</f>
        <v>1140.75</v>
      </c>
      <c r="D10" s="1012">
        <f t="shared" ref="D10:H10" si="0">SUM(D8:D9)</f>
        <v>0</v>
      </c>
      <c r="E10" s="1012">
        <f t="shared" si="0"/>
        <v>0</v>
      </c>
      <c r="F10" s="1012">
        <f t="shared" si="0"/>
        <v>1342.0588235294117</v>
      </c>
      <c r="G10" s="1012">
        <f t="shared" si="0"/>
        <v>0</v>
      </c>
      <c r="H10" s="1012">
        <f t="shared" si="0"/>
        <v>0</v>
      </c>
      <c r="I10" s="1012">
        <f>SUM(I8:I9)</f>
        <v>4026.1764705882351</v>
      </c>
      <c r="J10" s="1012">
        <f>SUM(J8:J9)</f>
        <v>0</v>
      </c>
      <c r="K10" s="1012">
        <f t="shared" ref="K10:L10" si="1">SUM(K8:K9)</f>
        <v>0</v>
      </c>
      <c r="L10" s="1012">
        <f t="shared" si="1"/>
        <v>0</v>
      </c>
      <c r="M10" s="1012">
        <f>SUM(M8:M9)</f>
        <v>0</v>
      </c>
      <c r="N10" s="1012">
        <f>SUM(N8:N9)</f>
        <v>0</v>
      </c>
      <c r="O10" s="1012">
        <f>SUM(O8:O9)</f>
        <v>0</v>
      </c>
      <c r="P10" s="1012">
        <f>SUM(P8:P9)</f>
        <v>358.32970588235293</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0.19993551385088065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3850.03125</v>
      </c>
      <c r="C17" s="1015">
        <f>'SEAP template'!C87</f>
        <v>1283.34375</v>
      </c>
      <c r="D17" s="1009">
        <f>'SEAP template'!D87</f>
        <v>0</v>
      </c>
      <c r="E17" s="1009">
        <f>'SEAP template'!E87</f>
        <v>0</v>
      </c>
      <c r="F17" s="1009">
        <f>'SEAP template'!F87</f>
        <v>1509.8161764705883</v>
      </c>
      <c r="G17" s="1009">
        <f>'SEAP template'!G87</f>
        <v>0</v>
      </c>
      <c r="H17" s="1009">
        <f>'SEAP template'!H87</f>
        <v>0</v>
      </c>
      <c r="I17" s="1009">
        <f>'SEAP template'!I87</f>
        <v>4529.4485294117649</v>
      </c>
      <c r="J17" s="1009">
        <f>'SEAP template'!J87</f>
        <v>0</v>
      </c>
      <c r="K17" s="1009">
        <f>'SEAP template'!K87</f>
        <v>0</v>
      </c>
      <c r="L17" s="1009">
        <f>'SEAP template'!L87</f>
        <v>0</v>
      </c>
      <c r="M17" s="1009">
        <f>'SEAP template'!M87</f>
        <v>0</v>
      </c>
      <c r="N17" s="1009">
        <f>'SEAP template'!N87</f>
        <v>0</v>
      </c>
      <c r="O17" s="1009">
        <f>'SEAP template'!O87</f>
        <v>0</v>
      </c>
      <c r="P17" s="1009">
        <f>'SEAP template'!Q87</f>
        <v>403.12091911764708</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3850.03125</v>
      </c>
      <c r="C20" s="1012">
        <f>SUM(C17:C19)</f>
        <v>1283.34375</v>
      </c>
      <c r="D20" s="1012">
        <f t="shared" ref="D20:H20" si="2">SUM(D17:D19)</f>
        <v>0</v>
      </c>
      <c r="E20" s="1012">
        <f t="shared" si="2"/>
        <v>0</v>
      </c>
      <c r="F20" s="1012">
        <f t="shared" si="2"/>
        <v>1509.8161764705883</v>
      </c>
      <c r="G20" s="1012">
        <f t="shared" si="2"/>
        <v>0</v>
      </c>
      <c r="H20" s="1012">
        <f t="shared" si="2"/>
        <v>0</v>
      </c>
      <c r="I20" s="1012">
        <f>SUM(I17:I19)</f>
        <v>4529.4485294117649</v>
      </c>
      <c r="J20" s="1012">
        <f>SUM(J17:J19)</f>
        <v>0</v>
      </c>
      <c r="K20" s="1012">
        <f t="shared" ref="K20:L20" si="3">SUM(K17:K19)</f>
        <v>0</v>
      </c>
      <c r="L20" s="1012">
        <f t="shared" si="3"/>
        <v>0</v>
      </c>
      <c r="M20" s="1012">
        <f>SUM(M17:M19)</f>
        <v>0</v>
      </c>
      <c r="N20" s="1012">
        <f>SUM(N17:N19)</f>
        <v>0</v>
      </c>
      <c r="O20" s="1012">
        <f>SUM(O17:O19)</f>
        <v>0</v>
      </c>
      <c r="P20" s="1012">
        <f>SUM(P17:P19)</f>
        <v>403.12091911764708</v>
      </c>
    </row>
    <row r="22" spans="1:16">
      <c r="A22" s="462" t="s">
        <v>916</v>
      </c>
      <c r="B22" s="766" t="s">
        <v>910</v>
      </c>
      <c r="C22" s="766">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0.19993551385088065</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0.19993551385088065</v>
      </c>
      <c r="C17" s="498">
        <f ca="1">'EF ele_warmte'!B22</f>
        <v>7.8529411764705889E-2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0.19993551385088065</v>
      </c>
      <c r="C29" s="499">
        <f ca="1">'EF ele_warmte'!B22</f>
        <v>7.8529411764705889E-2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5469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942</v>
      </c>
      <c r="C14" s="326"/>
      <c r="D14" s="326"/>
      <c r="E14" s="326"/>
      <c r="F14" s="326"/>
    </row>
    <row r="15" spans="1:6">
      <c r="A15" s="1282" t="s">
        <v>183</v>
      </c>
      <c r="B15" s="1283">
        <v>11</v>
      </c>
      <c r="C15" s="326"/>
      <c r="D15" s="326"/>
      <c r="E15" s="326"/>
      <c r="F15" s="326"/>
    </row>
    <row r="16" spans="1:6">
      <c r="A16" s="1282" t="s">
        <v>6</v>
      </c>
      <c r="B16" s="1283">
        <v>256</v>
      </c>
      <c r="C16" s="326"/>
      <c r="D16" s="326"/>
      <c r="E16" s="326"/>
      <c r="F16" s="326"/>
    </row>
    <row r="17" spans="1:6">
      <c r="A17" s="1282" t="s">
        <v>7</v>
      </c>
      <c r="B17" s="1283">
        <v>230</v>
      </c>
      <c r="C17" s="326"/>
      <c r="D17" s="326"/>
      <c r="E17" s="326"/>
      <c r="F17" s="326"/>
    </row>
    <row r="18" spans="1:6">
      <c r="A18" s="1282" t="s">
        <v>8</v>
      </c>
      <c r="B18" s="1283">
        <v>341</v>
      </c>
      <c r="C18" s="326"/>
      <c r="D18" s="326"/>
      <c r="E18" s="326"/>
      <c r="F18" s="326"/>
    </row>
    <row r="19" spans="1:6">
      <c r="A19" s="1282" t="s">
        <v>9</v>
      </c>
      <c r="B19" s="1283">
        <v>329</v>
      </c>
      <c r="C19" s="326"/>
      <c r="D19" s="326"/>
      <c r="E19" s="326"/>
      <c r="F19" s="326"/>
    </row>
    <row r="20" spans="1:6">
      <c r="A20" s="1282" t="s">
        <v>10</v>
      </c>
      <c r="B20" s="1283">
        <v>257</v>
      </c>
      <c r="C20" s="326"/>
      <c r="D20" s="326"/>
      <c r="E20" s="326"/>
      <c r="F20" s="326"/>
    </row>
    <row r="21" spans="1:6">
      <c r="A21" s="1282" t="s">
        <v>11</v>
      </c>
      <c r="B21" s="1283">
        <v>0</v>
      </c>
      <c r="C21" s="326"/>
      <c r="D21" s="326"/>
      <c r="E21" s="326"/>
      <c r="F21" s="326"/>
    </row>
    <row r="22" spans="1:6">
      <c r="A22" s="1282" t="s">
        <v>12</v>
      </c>
      <c r="B22" s="1283">
        <v>0</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334</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33</v>
      </c>
      <c r="C29" s="332"/>
      <c r="D29" s="332"/>
      <c r="E29" s="332"/>
      <c r="F29" s="332"/>
    </row>
    <row r="30" spans="1:6">
      <c r="A30" s="1277" t="s">
        <v>979</v>
      </c>
      <c r="B30" s="1286">
        <v>14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3</v>
      </c>
      <c r="F38" s="1283">
        <v>7202</v>
      </c>
    </row>
    <row r="39" spans="1:6">
      <c r="A39" s="1282" t="s">
        <v>29</v>
      </c>
      <c r="B39" s="1282" t="s">
        <v>30</v>
      </c>
      <c r="C39" s="1283">
        <v>2709</v>
      </c>
      <c r="D39" s="1283">
        <v>42488905.2828684</v>
      </c>
      <c r="E39" s="1283">
        <v>5509</v>
      </c>
      <c r="F39" s="1283">
        <v>27186280.766957302</v>
      </c>
    </row>
    <row r="40" spans="1:6">
      <c r="A40" s="1282" t="s">
        <v>29</v>
      </c>
      <c r="B40" s="1282" t="s">
        <v>28</v>
      </c>
      <c r="C40" s="1283">
        <v>0</v>
      </c>
      <c r="D40" s="1283">
        <v>0</v>
      </c>
      <c r="E40" s="1283">
        <v>0</v>
      </c>
      <c r="F40" s="1283">
        <v>0</v>
      </c>
    </row>
    <row r="41" spans="1:6">
      <c r="A41" s="1282" t="s">
        <v>31</v>
      </c>
      <c r="B41" s="1282" t="s">
        <v>32</v>
      </c>
      <c r="C41" s="1283">
        <v>37</v>
      </c>
      <c r="D41" s="1283">
        <v>533959.55730534799</v>
      </c>
      <c r="E41" s="1283">
        <v>110</v>
      </c>
      <c r="F41" s="1283">
        <v>1020212.12265567</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7</v>
      </c>
      <c r="F44" s="1283">
        <v>60487.728036817403</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19</v>
      </c>
      <c r="D48" s="1283">
        <v>763441.72946327506</v>
      </c>
      <c r="E48" s="1283">
        <v>26</v>
      </c>
      <c r="F48" s="1283">
        <v>3516700.12478839</v>
      </c>
    </row>
    <row r="49" spans="1:6">
      <c r="A49" s="1282" t="s">
        <v>31</v>
      </c>
      <c r="B49" s="1282" t="s">
        <v>39</v>
      </c>
      <c r="C49" s="1283">
        <v>0</v>
      </c>
      <c r="D49" s="1283">
        <v>0</v>
      </c>
      <c r="E49" s="1283">
        <v>3</v>
      </c>
      <c r="F49" s="1283">
        <v>2353242.42796002</v>
      </c>
    </row>
    <row r="50" spans="1:6">
      <c r="A50" s="1282" t="s">
        <v>31</v>
      </c>
      <c r="B50" s="1282" t="s">
        <v>40</v>
      </c>
      <c r="C50" s="1283">
        <v>3</v>
      </c>
      <c r="D50" s="1283">
        <v>3225145.5304415599</v>
      </c>
      <c r="E50" s="1283">
        <v>8</v>
      </c>
      <c r="F50" s="1283">
        <v>350588.11258878402</v>
      </c>
    </row>
    <row r="51" spans="1:6">
      <c r="A51" s="1282" t="s">
        <v>41</v>
      </c>
      <c r="B51" s="1282" t="s">
        <v>42</v>
      </c>
      <c r="C51" s="1283">
        <v>5</v>
      </c>
      <c r="D51" s="1283">
        <v>82870.306147729803</v>
      </c>
      <c r="E51" s="1283">
        <v>46</v>
      </c>
      <c r="F51" s="1283">
        <v>842840.19464463205</v>
      </c>
    </row>
    <row r="52" spans="1:6">
      <c r="A52" s="1282" t="s">
        <v>41</v>
      </c>
      <c r="B52" s="1282" t="s">
        <v>28</v>
      </c>
      <c r="C52" s="1283">
        <v>2</v>
      </c>
      <c r="D52" s="1283">
        <v>45864.182468058701</v>
      </c>
      <c r="E52" s="1283">
        <v>4</v>
      </c>
      <c r="F52" s="1283">
        <v>176220.748085322</v>
      </c>
    </row>
    <row r="53" spans="1:6">
      <c r="A53" s="1282" t="s">
        <v>43</v>
      </c>
      <c r="B53" s="1282" t="s">
        <v>44</v>
      </c>
      <c r="C53" s="1283">
        <v>82</v>
      </c>
      <c r="D53" s="1283">
        <v>1358653.5656739899</v>
      </c>
      <c r="E53" s="1283">
        <v>177</v>
      </c>
      <c r="F53" s="1283">
        <v>947093.23347648897</v>
      </c>
    </row>
    <row r="54" spans="1:6">
      <c r="A54" s="1282" t="s">
        <v>45</v>
      </c>
      <c r="B54" s="1282" t="s">
        <v>46</v>
      </c>
      <c r="C54" s="1283">
        <v>0</v>
      </c>
      <c r="D54" s="1283">
        <v>0</v>
      </c>
      <c r="E54" s="1283">
        <v>1</v>
      </c>
      <c r="F54" s="1283">
        <v>936669</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23</v>
      </c>
      <c r="D57" s="1283">
        <v>500573.65655809798</v>
      </c>
      <c r="E57" s="1283">
        <v>84</v>
      </c>
      <c r="F57" s="1283">
        <v>1240319.59873019</v>
      </c>
    </row>
    <row r="58" spans="1:6">
      <c r="A58" s="1282" t="s">
        <v>48</v>
      </c>
      <c r="B58" s="1282" t="s">
        <v>50</v>
      </c>
      <c r="C58" s="1283">
        <v>3</v>
      </c>
      <c r="D58" s="1283">
        <v>83387.076733726994</v>
      </c>
      <c r="E58" s="1283">
        <v>0</v>
      </c>
      <c r="F58" s="1283">
        <v>0</v>
      </c>
    </row>
    <row r="59" spans="1:6">
      <c r="A59" s="1282" t="s">
        <v>48</v>
      </c>
      <c r="B59" s="1282" t="s">
        <v>51</v>
      </c>
      <c r="C59" s="1283">
        <v>19</v>
      </c>
      <c r="D59" s="1283">
        <v>670769.12214429304</v>
      </c>
      <c r="E59" s="1283">
        <v>125</v>
      </c>
      <c r="F59" s="1283">
        <v>3124197.7988672801</v>
      </c>
    </row>
    <row r="60" spans="1:6">
      <c r="A60" s="1282" t="s">
        <v>48</v>
      </c>
      <c r="B60" s="1282" t="s">
        <v>52</v>
      </c>
      <c r="C60" s="1283">
        <v>23</v>
      </c>
      <c r="D60" s="1283">
        <v>928215.89205649903</v>
      </c>
      <c r="E60" s="1283">
        <v>38</v>
      </c>
      <c r="F60" s="1283">
        <v>963807.84300958097</v>
      </c>
    </row>
    <row r="61" spans="1:6">
      <c r="A61" s="1282" t="s">
        <v>48</v>
      </c>
      <c r="B61" s="1282" t="s">
        <v>53</v>
      </c>
      <c r="C61" s="1283">
        <v>57</v>
      </c>
      <c r="D61" s="1283">
        <v>4182195.2569244602</v>
      </c>
      <c r="E61" s="1283">
        <v>153</v>
      </c>
      <c r="F61" s="1283">
        <v>1919516.19150936</v>
      </c>
    </row>
    <row r="62" spans="1:6">
      <c r="A62" s="1282" t="s">
        <v>48</v>
      </c>
      <c r="B62" s="1282" t="s">
        <v>54</v>
      </c>
      <c r="C62" s="1283">
        <v>0</v>
      </c>
      <c r="D62" s="1283">
        <v>0</v>
      </c>
      <c r="E62" s="1283">
        <v>0</v>
      </c>
      <c r="F62" s="1283">
        <v>0</v>
      </c>
    </row>
    <row r="63" spans="1:6">
      <c r="A63" s="1282" t="s">
        <v>48</v>
      </c>
      <c r="B63" s="1282" t="s">
        <v>28</v>
      </c>
      <c r="C63" s="1283">
        <v>91</v>
      </c>
      <c r="D63" s="1283">
        <v>3906709.61712135</v>
      </c>
      <c r="E63" s="1283">
        <v>91</v>
      </c>
      <c r="F63" s="1283">
        <v>1975933.60571791</v>
      </c>
    </row>
    <row r="64" spans="1:6">
      <c r="A64" s="1282" t="s">
        <v>55</v>
      </c>
      <c r="B64" s="1282" t="s">
        <v>56</v>
      </c>
      <c r="C64" s="1283">
        <v>0</v>
      </c>
      <c r="D64" s="1283">
        <v>0</v>
      </c>
      <c r="E64" s="1283">
        <v>0</v>
      </c>
      <c r="F64" s="1283">
        <v>0</v>
      </c>
    </row>
    <row r="65" spans="1:6">
      <c r="A65" s="1282" t="s">
        <v>55</v>
      </c>
      <c r="B65" s="1282" t="s">
        <v>28</v>
      </c>
      <c r="C65" s="1283">
        <v>0</v>
      </c>
      <c r="D65" s="1283">
        <v>0</v>
      </c>
      <c r="E65" s="1283">
        <v>1</v>
      </c>
      <c r="F65" s="1283">
        <v>9909.2881405896005</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3</v>
      </c>
      <c r="D68" s="1286">
        <v>86303.719990863407</v>
      </c>
      <c r="E68" s="1286">
        <v>10</v>
      </c>
      <c r="F68" s="1286">
        <v>51243.601686957401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42207360</v>
      </c>
      <c r="E73" s="447"/>
      <c r="F73" s="326"/>
    </row>
    <row r="74" spans="1:6">
      <c r="A74" s="1282" t="s">
        <v>63</v>
      </c>
      <c r="B74" s="1282" t="s">
        <v>760</v>
      </c>
      <c r="C74" s="1296" t="s">
        <v>761</v>
      </c>
      <c r="D74" s="1297">
        <v>3908948.593983585</v>
      </c>
      <c r="E74" s="447"/>
      <c r="F74" s="326"/>
    </row>
    <row r="75" spans="1:6">
      <c r="A75" s="1282" t="s">
        <v>64</v>
      </c>
      <c r="B75" s="1282" t="s">
        <v>758</v>
      </c>
      <c r="C75" s="1296" t="s">
        <v>762</v>
      </c>
      <c r="D75" s="1297">
        <v>21444321</v>
      </c>
      <c r="E75" s="447"/>
      <c r="F75" s="326"/>
    </row>
    <row r="76" spans="1:6">
      <c r="A76" s="1282" t="s">
        <v>64</v>
      </c>
      <c r="B76" s="1282" t="s">
        <v>760</v>
      </c>
      <c r="C76" s="1296" t="s">
        <v>763</v>
      </c>
      <c r="D76" s="1297">
        <v>1454823.5939835848</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185254.81203283026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1403.7899751874384</v>
      </c>
      <c r="C91" s="326"/>
      <c r="D91" s="326"/>
      <c r="E91" s="326"/>
      <c r="F91" s="326"/>
    </row>
    <row r="92" spans="1:6">
      <c r="A92" s="1277" t="s">
        <v>68</v>
      </c>
      <c r="B92" s="1278">
        <v>231.77325814375121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991</v>
      </c>
      <c r="C97" s="326"/>
      <c r="D97" s="326"/>
      <c r="E97" s="326"/>
      <c r="F97" s="326"/>
    </row>
    <row r="98" spans="1:6">
      <c r="A98" s="1282" t="s">
        <v>71</v>
      </c>
      <c r="B98" s="1283">
        <v>4</v>
      </c>
      <c r="C98" s="326"/>
      <c r="D98" s="326"/>
      <c r="E98" s="326"/>
      <c r="F98" s="326"/>
    </row>
    <row r="99" spans="1:6">
      <c r="A99" s="1282" t="s">
        <v>72</v>
      </c>
      <c r="B99" s="1283">
        <v>32</v>
      </c>
      <c r="C99" s="326"/>
      <c r="D99" s="326"/>
      <c r="E99" s="326"/>
      <c r="F99" s="326"/>
    </row>
    <row r="100" spans="1:6">
      <c r="A100" s="1282" t="s">
        <v>73</v>
      </c>
      <c r="B100" s="1283">
        <v>641</v>
      </c>
      <c r="C100" s="326"/>
      <c r="D100" s="326"/>
      <c r="E100" s="326"/>
      <c r="F100" s="326"/>
    </row>
    <row r="101" spans="1:6">
      <c r="A101" s="1282" t="s">
        <v>74</v>
      </c>
      <c r="B101" s="1283">
        <v>54</v>
      </c>
      <c r="C101" s="326"/>
      <c r="D101" s="326"/>
      <c r="E101" s="326"/>
      <c r="F101" s="326"/>
    </row>
    <row r="102" spans="1:6">
      <c r="A102" s="1282" t="s">
        <v>75</v>
      </c>
      <c r="B102" s="1283">
        <v>59</v>
      </c>
      <c r="C102" s="326"/>
      <c r="D102" s="326"/>
      <c r="E102" s="326"/>
      <c r="F102" s="326"/>
    </row>
    <row r="103" spans="1:6">
      <c r="A103" s="1282" t="s">
        <v>76</v>
      </c>
      <c r="B103" s="1283">
        <v>73</v>
      </c>
      <c r="C103" s="326"/>
      <c r="D103" s="326"/>
      <c r="E103" s="326"/>
      <c r="F103" s="326"/>
    </row>
    <row r="104" spans="1:6">
      <c r="A104" s="1282" t="s">
        <v>77</v>
      </c>
      <c r="B104" s="1283">
        <v>2565</v>
      </c>
      <c r="C104" s="326"/>
      <c r="D104" s="326"/>
      <c r="E104" s="326"/>
      <c r="F104" s="326"/>
    </row>
    <row r="105" spans="1:6">
      <c r="A105" s="1277" t="s">
        <v>78</v>
      </c>
      <c r="B105" s="128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12</v>
      </c>
      <c r="C123" s="1283">
        <v>7</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46</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12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48021.715864458878</v>
      </c>
      <c r="C3" s="43" t="s">
        <v>169</v>
      </c>
      <c r="D3" s="43"/>
      <c r="E3" s="156"/>
      <c r="F3" s="43"/>
      <c r="G3" s="43"/>
      <c r="H3" s="43"/>
      <c r="I3" s="43"/>
      <c r="J3" s="43"/>
      <c r="K3" s="96"/>
    </row>
    <row r="4" spans="1:11">
      <c r="A4" s="354" t="s">
        <v>170</v>
      </c>
      <c r="B4" s="49">
        <f>IF(ISERROR('SEAP template'!B78+'SEAP template'!C78),0,'SEAP template'!B78+'SEAP template'!C78)</f>
        <v>6198.5632333311896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358.32970588235293</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0.19993551385088065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403.12091911764708</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5133.375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7.8529411764705889E-2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936.66899999999998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936.66899999999998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0.19993551385088065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187.27339782319052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27186.280766957301</v>
      </c>
      <c r="C5" s="17">
        <f>IF(ISERROR('Eigen informatie GS &amp; warmtenet'!B57),0,'Eigen informatie GS &amp; warmtenet'!B57)</f>
        <v>0</v>
      </c>
      <c r="D5" s="30">
        <f>(SUM(HH_hh_gas_kWh,HH_rest_gas_kWh)/1000)*0.902</f>
        <v>38324.992565147295</v>
      </c>
      <c r="E5" s="17">
        <f>B32*B41</f>
        <v>1386.0007155074866</v>
      </c>
      <c r="F5" s="17">
        <f>B36*B45</f>
        <v>47310.296782511272</v>
      </c>
      <c r="G5" s="18"/>
      <c r="H5" s="17"/>
      <c r="I5" s="17"/>
      <c r="J5" s="17">
        <f>B35*B44+C35*C44</f>
        <v>1065.3079383530981</v>
      </c>
      <c r="K5" s="17"/>
      <c r="L5" s="17"/>
      <c r="M5" s="17"/>
      <c r="N5" s="17">
        <f>B34*B43+C34*C43</f>
        <v>6808.2462691835472</v>
      </c>
      <c r="O5" s="17">
        <f>B52*B53*B54</f>
        <v>82.856666666666683</v>
      </c>
      <c r="P5" s="17">
        <f>B60*B61*B62/1000-B60*B61*B62/1000/B63</f>
        <v>457.6</v>
      </c>
    </row>
    <row r="6" spans="1:16">
      <c r="A6" s="16" t="s">
        <v>621</v>
      </c>
      <c r="B6" s="768">
        <f>kWh_PV_kleiner_dan_10kW</f>
        <v>1403.7899751874384</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28590.070742144741</v>
      </c>
      <c r="C8" s="21">
        <f>C5</f>
        <v>0</v>
      </c>
      <c r="D8" s="21">
        <f>D5</f>
        <v>38324.992565147295</v>
      </c>
      <c r="E8" s="21">
        <f>E5</f>
        <v>1386.0007155074866</v>
      </c>
      <c r="F8" s="21">
        <f>F5</f>
        <v>47310.296782511272</v>
      </c>
      <c r="G8" s="21"/>
      <c r="H8" s="21"/>
      <c r="I8" s="21"/>
      <c r="J8" s="21">
        <f>J5</f>
        <v>1065.3079383530981</v>
      </c>
      <c r="K8" s="21"/>
      <c r="L8" s="21">
        <f>L5</f>
        <v>0</v>
      </c>
      <c r="M8" s="21">
        <f>M5</f>
        <v>0</v>
      </c>
      <c r="N8" s="21">
        <f>N5</f>
        <v>6808.2462691835472</v>
      </c>
      <c r="O8" s="21">
        <f>O5</f>
        <v>82.856666666666683</v>
      </c>
      <c r="P8" s="21">
        <f>P5</f>
        <v>457.6</v>
      </c>
    </row>
    <row r="9" spans="1:16">
      <c r="B9" s="19"/>
      <c r="C9" s="19"/>
      <c r="D9" s="256"/>
      <c r="E9" s="19"/>
      <c r="F9" s="19"/>
      <c r="G9" s="19"/>
      <c r="H9" s="19"/>
      <c r="I9" s="19"/>
      <c r="J9" s="19"/>
      <c r="K9" s="19"/>
      <c r="L9" s="19"/>
      <c r="M9" s="19"/>
      <c r="N9" s="19"/>
      <c r="O9" s="19"/>
      <c r="P9" s="19"/>
    </row>
    <row r="10" spans="1:16">
      <c r="A10" s="24" t="s">
        <v>213</v>
      </c>
      <c r="B10" s="25">
        <f ca="1">'EF ele_warmte'!B12</f>
        <v>0.19993551385088065</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5716.1704848637373</v>
      </c>
      <c r="C12" s="23">
        <f ca="1">C10*C8</f>
        <v>0</v>
      </c>
      <c r="D12" s="23">
        <f>D8*D10</f>
        <v>7741.6484981597541</v>
      </c>
      <c r="E12" s="23">
        <f>E10*E8</f>
        <v>314.62216242019946</v>
      </c>
      <c r="F12" s="23">
        <f>F10*F8</f>
        <v>12631.849240930511</v>
      </c>
      <c r="G12" s="23"/>
      <c r="H12" s="23"/>
      <c r="I12" s="23"/>
      <c r="J12" s="23">
        <f>J10*J8</f>
        <v>377.11901017699671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5469</v>
      </c>
      <c r="C26" s="36"/>
      <c r="D26" s="226"/>
    </row>
    <row r="27" spans="1:5" s="15" customFormat="1">
      <c r="A27" s="228" t="s">
        <v>701</v>
      </c>
      <c r="B27" s="37">
        <f>SUM(HH_hh_gas_aantal,HH_rest_gas_aantal)</f>
        <v>2709</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2573.5500000000002</v>
      </c>
      <c r="C31" s="34" t="s">
        <v>110</v>
      </c>
      <c r="D31" s="172"/>
    </row>
    <row r="32" spans="1:5">
      <c r="A32" s="169" t="s">
        <v>72</v>
      </c>
      <c r="B32" s="33">
        <f>IF((B21*($B$26-($B$27-0.05*$B$27)-$B$60))&lt;0,0,B21*($B$26-($B$27-0.05*$B$27)-$B$60))</f>
        <v>20.357341903826679</v>
      </c>
      <c r="C32" s="34" t="s">
        <v>110</v>
      </c>
      <c r="D32" s="172"/>
    </row>
    <row r="33" spans="1:6">
      <c r="A33" s="169" t="s">
        <v>73</v>
      </c>
      <c r="B33" s="33">
        <f>IF((B22*($B$26-($B$27-0.05*$B$27)-$B$60))&lt;0,0,B22*($B$26-($B$27-0.05*$B$27)-$B$60))</f>
        <v>583.43864925729133</v>
      </c>
      <c r="C33" s="34" t="s">
        <v>110</v>
      </c>
      <c r="D33" s="172"/>
    </row>
    <row r="34" spans="1:6">
      <c r="A34" s="169" t="s">
        <v>74</v>
      </c>
      <c r="B34" s="33">
        <f>IF((B24*($B$26-($B$27-0.05*$B$27)-$B$60))&lt;0,0,B24*($B$26-($B$27-0.05*$B$27)-$B$60))</f>
        <v>116.34383262772688</v>
      </c>
      <c r="C34" s="33">
        <f>B26*C24</f>
        <v>1118.2880749583658</v>
      </c>
      <c r="D34" s="231"/>
    </row>
    <row r="35" spans="1:6">
      <c r="A35" s="169" t="s">
        <v>76</v>
      </c>
      <c r="B35" s="33">
        <f>IF((B19*($B$26-($B$27-0.05*$B$27)-$B$60))&lt;0,0,B19*($B$26-($B$27-0.05*$B$27)-$B$60))</f>
        <v>60.587327094722269</v>
      </c>
      <c r="C35" s="33">
        <f>B35/2</f>
        <v>30.293663547361135</v>
      </c>
      <c r="D35" s="231"/>
    </row>
    <row r="36" spans="1:6">
      <c r="A36" s="169" t="s">
        <v>77</v>
      </c>
      <c r="B36" s="33">
        <f>IF((B18*($B$26-($B$27-0.05*$B$27)-$B$60))&lt;0,0,B18*($B$26-($B$27-0.05*$B$27)-$B$60))</f>
        <v>2090.7228491164328</v>
      </c>
      <c r="C36" s="34" t="s">
        <v>110</v>
      </c>
      <c r="D36" s="172"/>
    </row>
    <row r="37" spans="1:6">
      <c r="A37" s="169" t="s">
        <v>78</v>
      </c>
      <c r="B37" s="33">
        <f>B60</f>
        <v>24</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53</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24</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9223.7750378343208</v>
      </c>
      <c r="C5" s="17">
        <f>IF(ISERROR('Eigen informatie GS &amp; warmtenet'!B58),0,'Eigen informatie GS &amp; warmtenet'!B58)</f>
        <v>0</v>
      </c>
      <c r="D5" s="30">
        <f>SUM(D6:D12)</f>
        <v>9265.2092606276638</v>
      </c>
      <c r="E5" s="17">
        <f>SUM(E6:E12)</f>
        <v>187.54048253301133</v>
      </c>
      <c r="F5" s="17">
        <f>SUM(F6:F12)</f>
        <v>1659.3560509132631</v>
      </c>
      <c r="G5" s="18"/>
      <c r="H5" s="17"/>
      <c r="I5" s="17"/>
      <c r="J5" s="17">
        <f>SUM(J6:J12)</f>
        <v>0</v>
      </c>
      <c r="K5" s="17"/>
      <c r="L5" s="17"/>
      <c r="M5" s="17"/>
      <c r="N5" s="17">
        <f>SUM(N6:N12)</f>
        <v>358.20821150623857</v>
      </c>
      <c r="O5" s="17">
        <f>B38*B39*B40</f>
        <v>1.5633333333333335</v>
      </c>
      <c r="P5" s="17">
        <f>B46*B47*B48/1000-B46*B47*B48/1000/B49</f>
        <v>19.066666666666666</v>
      </c>
      <c r="R5" s="32"/>
    </row>
    <row r="6" spans="1:18">
      <c r="A6" s="32" t="s">
        <v>53</v>
      </c>
      <c r="B6" s="37">
        <f>B26</f>
        <v>1919.5161915093599</v>
      </c>
      <c r="C6" s="33"/>
      <c r="D6" s="37">
        <f>IF(ISERROR(TER_kantoor_gas_kWh/1000),0,TER_kantoor_gas_kWh/1000)*0.902</f>
        <v>3772.3401217458636</v>
      </c>
      <c r="E6" s="33">
        <f>$C$26*'E Balans VL '!I12/100/3.6*1000000</f>
        <v>67.190617593187241</v>
      </c>
      <c r="F6" s="33">
        <f>$C$26*('E Balans VL '!L12+'E Balans VL '!N12)/100/3.6*1000000</f>
        <v>291.03986624161394</v>
      </c>
      <c r="G6" s="34"/>
      <c r="H6" s="33"/>
      <c r="I6" s="33"/>
      <c r="J6" s="33">
        <f>$C$26*('E Balans VL '!D12+'E Balans VL '!E12)/100/3.6*1000000</f>
        <v>0</v>
      </c>
      <c r="K6" s="33"/>
      <c r="L6" s="33"/>
      <c r="M6" s="33"/>
      <c r="N6" s="33">
        <f>$C$26*'E Balans VL '!Y12/100/3.6*1000000</f>
        <v>14.83725936833395</v>
      </c>
      <c r="O6" s="33"/>
      <c r="P6" s="33"/>
      <c r="R6" s="32"/>
    </row>
    <row r="7" spans="1:18">
      <c r="A7" s="32" t="s">
        <v>52</v>
      </c>
      <c r="B7" s="37">
        <f t="shared" ref="B7:B12" si="0">B27</f>
        <v>963.80784300958101</v>
      </c>
      <c r="C7" s="33"/>
      <c r="D7" s="37">
        <f>IF(ISERROR(TER_horeca_gas_kWh/1000),0,TER_horeca_gas_kWh/1000)*0.902</f>
        <v>837.2507346349621</v>
      </c>
      <c r="E7" s="33">
        <f>$C$27*'E Balans VL '!I9/100/3.6*1000000</f>
        <v>54.371577868943653</v>
      </c>
      <c r="F7" s="33">
        <f>$C$27*('E Balans VL '!L9+'E Balans VL '!N9)/100/3.6*1000000</f>
        <v>167.90066003335477</v>
      </c>
      <c r="G7" s="34"/>
      <c r="H7" s="33"/>
      <c r="I7" s="33"/>
      <c r="J7" s="33">
        <f>$C$27*('E Balans VL '!D9+'E Balans VL '!E9)/100/3.6*1000000</f>
        <v>0</v>
      </c>
      <c r="K7" s="33"/>
      <c r="L7" s="33"/>
      <c r="M7" s="33"/>
      <c r="N7" s="33">
        <f>$C$27*'E Balans VL '!Y9/100/3.6*1000000</f>
        <v>0</v>
      </c>
      <c r="O7" s="33"/>
      <c r="P7" s="33"/>
      <c r="R7" s="32"/>
    </row>
    <row r="8" spans="1:18">
      <c r="A8" s="6" t="s">
        <v>51</v>
      </c>
      <c r="B8" s="37">
        <f t="shared" si="0"/>
        <v>3124.1977988672802</v>
      </c>
      <c r="C8" s="33"/>
      <c r="D8" s="37">
        <f>IF(ISERROR(TER_handel_gas_kWh/1000),0,TER_handel_gas_kWh/1000)*0.902</f>
        <v>605.03374817415238</v>
      </c>
      <c r="E8" s="33">
        <f>$C$28*'E Balans VL '!I13/100/3.6*1000000</f>
        <v>16.039314085491824</v>
      </c>
      <c r="F8" s="33">
        <f>$C$28*('E Balans VL '!L13+'E Balans VL '!N13)/100/3.6*1000000</f>
        <v>481.70302677381903</v>
      </c>
      <c r="G8" s="34"/>
      <c r="H8" s="33"/>
      <c r="I8" s="33"/>
      <c r="J8" s="33">
        <f>$C$28*('E Balans VL '!D13+'E Balans VL '!E13)/100/3.6*1000000</f>
        <v>0</v>
      </c>
      <c r="K8" s="33"/>
      <c r="L8" s="33"/>
      <c r="M8" s="33"/>
      <c r="N8" s="33">
        <f>$C$28*'E Balans VL '!Y13/100/3.6*1000000</f>
        <v>1.4612254464976064</v>
      </c>
      <c r="O8" s="33"/>
      <c r="P8" s="33"/>
      <c r="R8" s="32"/>
    </row>
    <row r="9" spans="1:18">
      <c r="A9" s="32" t="s">
        <v>50</v>
      </c>
      <c r="B9" s="37">
        <f t="shared" si="0"/>
        <v>0</v>
      </c>
      <c r="C9" s="33"/>
      <c r="D9" s="37">
        <f>IF(ISERROR(TER_gezond_gas_kWh/1000),0,TER_gezond_gas_kWh/1000)*0.902</f>
        <v>75.215143213821761</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1240.3195987301899</v>
      </c>
      <c r="C10" s="33"/>
      <c r="D10" s="37">
        <f>IF(ISERROR(TER_ander_gas_kWh/1000),0,TER_ander_gas_kWh/1000)*0.902</f>
        <v>451.51743821540441</v>
      </c>
      <c r="E10" s="33">
        <f>$C$30*'E Balans VL '!I14/100/3.6*1000000</f>
        <v>7.5610188758894408</v>
      </c>
      <c r="F10" s="33">
        <f>$C$30*('E Balans VL '!L14+'E Balans VL '!N14)/100/3.6*1000000</f>
        <v>328.82571607456538</v>
      </c>
      <c r="G10" s="34"/>
      <c r="H10" s="33"/>
      <c r="I10" s="33"/>
      <c r="J10" s="33">
        <f>$C$30*('E Balans VL '!D14+'E Balans VL '!E14)/100/3.6*1000000</f>
        <v>0</v>
      </c>
      <c r="K10" s="33"/>
      <c r="L10" s="33"/>
      <c r="M10" s="33"/>
      <c r="N10" s="33">
        <f>$C$30*'E Balans VL '!Y14/100/3.6*1000000</f>
        <v>285.86686617347152</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1975.93360571791</v>
      </c>
      <c r="C12" s="33"/>
      <c r="D12" s="37">
        <f>IF(ISERROR(TER_rest_gas_kWh/1000),0,TER_rest_gas_kWh/1000)*0.902</f>
        <v>3523.8520746434579</v>
      </c>
      <c r="E12" s="33">
        <f>$C$32*'E Balans VL '!I8/100/3.6*1000000</f>
        <v>42.377954109499207</v>
      </c>
      <c r="F12" s="33">
        <f>$C$32*('E Balans VL '!L8+'E Balans VL '!N8)/100/3.6*1000000</f>
        <v>389.88678178990983</v>
      </c>
      <c r="G12" s="34"/>
      <c r="H12" s="33"/>
      <c r="I12" s="33"/>
      <c r="J12" s="33">
        <f>$C$32*('E Balans VL '!D8+'E Balans VL '!E8)/100/3.6*1000000</f>
        <v>0</v>
      </c>
      <c r="K12" s="33"/>
      <c r="L12" s="33"/>
      <c r="M12" s="33"/>
      <c r="N12" s="33">
        <f>$C$32*'E Balans VL '!Y8/100/3.6*1000000</f>
        <v>56.042860517935488</v>
      </c>
      <c r="O12" s="33"/>
      <c r="P12" s="33"/>
      <c r="R12" s="32"/>
    </row>
    <row r="13" spans="1:18">
      <c r="A13" s="16" t="s">
        <v>489</v>
      </c>
      <c r="B13" s="244">
        <f ca="1">'lokale energieproductie'!N39+'lokale energieproductie'!N32</f>
        <v>0</v>
      </c>
      <c r="C13" s="244">
        <f ca="1">'lokale energieproductie'!O39+'lokale energieproductie'!O32</f>
        <v>0</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9223.7750378343208</v>
      </c>
      <c r="C16" s="21">
        <f ca="1">C5+C13+C14</f>
        <v>0</v>
      </c>
      <c r="D16" s="21">
        <f t="shared" ref="D16:N16" ca="1" si="1">MAX((D5+D13+D14),0)</f>
        <v>9265.2092606276638</v>
      </c>
      <c r="E16" s="21">
        <f t="shared" si="1"/>
        <v>187.54048253301133</v>
      </c>
      <c r="F16" s="21">
        <f t="shared" ca="1" si="1"/>
        <v>1659.3560509132631</v>
      </c>
      <c r="G16" s="21">
        <f t="shared" si="1"/>
        <v>0</v>
      </c>
      <c r="H16" s="21">
        <f t="shared" si="1"/>
        <v>0</v>
      </c>
      <c r="I16" s="21">
        <f t="shared" si="1"/>
        <v>0</v>
      </c>
      <c r="J16" s="21">
        <f t="shared" si="1"/>
        <v>0</v>
      </c>
      <c r="K16" s="21">
        <f t="shared" si="1"/>
        <v>0</v>
      </c>
      <c r="L16" s="21">
        <f t="shared" ca="1" si="1"/>
        <v>0</v>
      </c>
      <c r="M16" s="21">
        <f t="shared" si="1"/>
        <v>0</v>
      </c>
      <c r="N16" s="21">
        <f t="shared" ca="1" si="1"/>
        <v>358.20821150623857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0.19993551385088065</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1844.160201834331</v>
      </c>
      <c r="C20" s="23">
        <f t="shared" ref="C20:P20" ca="1" si="2">C16*C18</f>
        <v>0</v>
      </c>
      <c r="D20" s="23">
        <f t="shared" ca="1" si="2"/>
        <v>1871.5722706467882</v>
      </c>
      <c r="E20" s="23">
        <f t="shared" si="2"/>
        <v>42.571689534993574</v>
      </c>
      <c r="F20" s="23">
        <f t="shared" ca="1" si="2"/>
        <v>443.04806559384127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1919.5161915093599</v>
      </c>
      <c r="C26" s="39">
        <f>IF(ISERROR(B26*3.6/1000000/'E Balans VL '!Z12*100),0,B26*3.6/1000000/'E Balans VL '!Z12*100)</f>
        <v>4.0393034972323882E-2</v>
      </c>
      <c r="D26" s="234" t="s">
        <v>706</v>
      </c>
      <c r="F26" s="6"/>
    </row>
    <row r="27" spans="1:18">
      <c r="A27" s="229" t="s">
        <v>52</v>
      </c>
      <c r="B27" s="33">
        <f>IF(ISERROR(TER_horeca_ele_kWh/1000),0,TER_horeca_ele_kWh/1000)</f>
        <v>963.80784300958101</v>
      </c>
      <c r="C27" s="39">
        <f>IF(ISERROR(B27*3.6/1000000/'E Balans VL '!Z9*100),0,B27*3.6/1000000/'E Balans VL '!Z9*100)</f>
        <v>8.1602901792662691E-2</v>
      </c>
      <c r="D27" s="234" t="s">
        <v>706</v>
      </c>
      <c r="F27" s="6"/>
    </row>
    <row r="28" spans="1:18">
      <c r="A28" s="169" t="s">
        <v>51</v>
      </c>
      <c r="B28" s="33">
        <f>IF(ISERROR(TER_handel_ele_kWh/1000),0,TER_handel_ele_kWh/1000)</f>
        <v>3124.1977988672802</v>
      </c>
      <c r="C28" s="39">
        <f>IF(ISERROR(B28*3.6/1000000/'E Balans VL '!Z13*100),0,B28*3.6/1000000/'E Balans VL '!Z13*100)</f>
        <v>8.649298405055042E-2</v>
      </c>
      <c r="D28" s="234" t="s">
        <v>706</v>
      </c>
      <c r="F28" s="6"/>
    </row>
    <row r="29" spans="1:18">
      <c r="A29" s="229" t="s">
        <v>50</v>
      </c>
      <c r="B29" s="33">
        <f>IF(ISERROR(TER_gezond_ele_kWh/1000),0,TER_gezond_ele_kWh/1000)</f>
        <v>0</v>
      </c>
      <c r="C29" s="39">
        <f>IF(ISERROR(B29*3.6/1000000/'E Balans VL '!Z10*100),0,B29*3.6/1000000/'E Balans VL '!Z10*100)</f>
        <v>0</v>
      </c>
      <c r="D29" s="234" t="s">
        <v>706</v>
      </c>
      <c r="F29" s="6"/>
    </row>
    <row r="30" spans="1:18">
      <c r="A30" s="229" t="s">
        <v>49</v>
      </c>
      <c r="B30" s="33">
        <f>IF(ISERROR(TER_ander_ele_kWh/1000),0,TER_ander_ele_kWh/1000)</f>
        <v>1240.3195987301899</v>
      </c>
      <c r="C30" s="39">
        <f>IF(ISERROR(B30*3.6/1000000/'E Balans VL '!Z14*100),0,B30*3.6/1000000/'E Balans VL '!Z14*100)</f>
        <v>9.6136143501227331E-2</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1975.93360571791</v>
      </c>
      <c r="C32" s="39">
        <f>IF(ISERROR(B32*3.6/1000000/'E Balans VL '!Z8*100),0,B32*3.6/1000000/'E Balans VL '!Z8*100)</f>
        <v>1.6293089929311937E-2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7301.2305160296819</v>
      </c>
      <c r="C5" s="17">
        <f>IF(ISERROR('Eigen informatie GS &amp; warmtenet'!B59),0,'Eigen informatie GS &amp; warmtenet'!B59)</f>
        <v>0</v>
      </c>
      <c r="D5" s="30">
        <f>SUM(D6:D15)</f>
        <v>4079.3372291235846</v>
      </c>
      <c r="E5" s="17">
        <f>SUM(E6:E15)</f>
        <v>57.864062975648224</v>
      </c>
      <c r="F5" s="17">
        <f>SUM(F6:F15)</f>
        <v>1614.065090554825</v>
      </c>
      <c r="G5" s="18"/>
      <c r="H5" s="17"/>
      <c r="I5" s="17"/>
      <c r="J5" s="17">
        <f>SUM(J6:J15)</f>
        <v>26.463138638646086</v>
      </c>
      <c r="K5" s="17"/>
      <c r="L5" s="17"/>
      <c r="M5" s="17"/>
      <c r="N5" s="17">
        <f>SUM(N6:N15)</f>
        <v>160.94924275986375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60.487728036817401</v>
      </c>
      <c r="C8" s="33"/>
      <c r="D8" s="37">
        <f>IF( ISERROR(IND_metaal_Gas_kWH/1000),0,IND_metaal_Gas_kWH/1000)*0.902</f>
        <v>0</v>
      </c>
      <c r="E8" s="33">
        <f>C30*'E Balans VL '!I18/100/3.6*1000000</f>
        <v>0.42503391890290315</v>
      </c>
      <c r="F8" s="33">
        <f>C30*'E Balans VL '!L18/100/3.6*1000000+C30*'E Balans VL '!N18/100/3.6*1000000</f>
        <v>6.6411986504008524</v>
      </c>
      <c r="G8" s="34"/>
      <c r="H8" s="33"/>
      <c r="I8" s="33"/>
      <c r="J8" s="40">
        <f>C30*'E Balans VL '!D18/100/3.6*1000000+C30*'E Balans VL '!E18/100/3.6*1000000</f>
        <v>1.2479922041508853</v>
      </c>
      <c r="K8" s="33"/>
      <c r="L8" s="33"/>
      <c r="M8" s="33"/>
      <c r="N8" s="33">
        <f>C30*'E Balans VL '!Y18/100/3.6*1000000</f>
        <v>0.22671236100349221</v>
      </c>
      <c r="O8" s="33"/>
      <c r="P8" s="33"/>
      <c r="R8" s="32"/>
    </row>
    <row r="9" spans="1:18">
      <c r="A9" s="6" t="s">
        <v>32</v>
      </c>
      <c r="B9" s="37">
        <f t="shared" si="0"/>
        <v>1020.21212265567</v>
      </c>
      <c r="C9" s="33"/>
      <c r="D9" s="37">
        <f>IF( ISERROR(IND_andere_gas_kWh/1000),0,IND_andere_gas_kWh/1000)*0.902</f>
        <v>481.63152068942389</v>
      </c>
      <c r="E9" s="33">
        <f>C31*'E Balans VL '!I19/100/3.6*1000000</f>
        <v>17.135712399756116</v>
      </c>
      <c r="F9" s="33">
        <f>C31*'E Balans VL '!L19/100/3.6*1000000+C31*'E Balans VL '!N19/100/3.6*1000000</f>
        <v>797.54373054840096</v>
      </c>
      <c r="G9" s="34"/>
      <c r="H9" s="33"/>
      <c r="I9" s="33"/>
      <c r="J9" s="40">
        <f>C31*'E Balans VL '!D19/100/3.6*1000000+C31*'E Balans VL '!E19/100/3.6*1000000</f>
        <v>9.2014127658441122E-2</v>
      </c>
      <c r="K9" s="33"/>
      <c r="L9" s="33"/>
      <c r="M9" s="33"/>
      <c r="N9" s="33">
        <f>C31*'E Balans VL '!Y19/100/3.6*1000000</f>
        <v>75.614086151311255</v>
      </c>
      <c r="O9" s="33"/>
      <c r="P9" s="33"/>
      <c r="R9" s="32"/>
    </row>
    <row r="10" spans="1:18">
      <c r="A10" s="6" t="s">
        <v>40</v>
      </c>
      <c r="B10" s="37">
        <f t="shared" si="0"/>
        <v>350.58811258878404</v>
      </c>
      <c r="C10" s="33"/>
      <c r="D10" s="37">
        <f>IF( ISERROR(IND_voed_gas_kWh/1000),0,IND_voed_gas_kWh/1000)*0.902</f>
        <v>2909.081268458287</v>
      </c>
      <c r="E10" s="33">
        <f>C32*'E Balans VL '!I20/100/3.6*1000000</f>
        <v>3.1986202523768834</v>
      </c>
      <c r="F10" s="33">
        <f>C32*'E Balans VL '!L20/100/3.6*1000000+C32*'E Balans VL '!N20/100/3.6*1000000</f>
        <v>56.56082831499436</v>
      </c>
      <c r="G10" s="34"/>
      <c r="H10" s="33"/>
      <c r="I10" s="33"/>
      <c r="J10" s="40">
        <f>C32*'E Balans VL '!D20/100/3.6*1000000+C32*'E Balans VL '!E20/100/3.6*1000000</f>
        <v>1.4439517043334575</v>
      </c>
      <c r="K10" s="33"/>
      <c r="L10" s="33"/>
      <c r="M10" s="33"/>
      <c r="N10" s="33">
        <f>C32*'E Balans VL '!Y20/100/3.6*1000000</f>
        <v>5.1288276406883684</v>
      </c>
      <c r="O10" s="33"/>
      <c r="P10" s="33"/>
      <c r="R10" s="32"/>
    </row>
    <row r="11" spans="1:18">
      <c r="A11" s="6" t="s">
        <v>39</v>
      </c>
      <c r="B11" s="37">
        <f t="shared" si="0"/>
        <v>2353.24242796002</v>
      </c>
      <c r="C11" s="33"/>
      <c r="D11" s="37">
        <f>IF( ISERROR(IND_textiel_gas_kWh/1000),0,IND_textiel_gas_kWh/1000)*0.902</f>
        <v>0</v>
      </c>
      <c r="E11" s="33">
        <f>C33*'E Balans VL '!I21/100/3.6*1000000</f>
        <v>5.3673094703694124</v>
      </c>
      <c r="F11" s="33">
        <f>C33*'E Balans VL '!L21/100/3.6*1000000+C33*'E Balans VL '!N21/100/3.6*1000000</f>
        <v>50.30273952016433</v>
      </c>
      <c r="G11" s="34"/>
      <c r="H11" s="33"/>
      <c r="I11" s="33"/>
      <c r="J11" s="40">
        <f>C33*'E Balans VL '!D21/100/3.6*1000000+C33*'E Balans VL '!E21/100/3.6*1000000</f>
        <v>0</v>
      </c>
      <c r="K11" s="33"/>
      <c r="L11" s="33"/>
      <c r="M11" s="33"/>
      <c r="N11" s="33">
        <f>C33*'E Balans VL '!Y21/100/3.6*1000000</f>
        <v>16.693584309081192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3516.70012478839</v>
      </c>
      <c r="C15" s="33"/>
      <c r="D15" s="37">
        <f>IF( ISERROR(IND_rest_gas_kWh/1000),0,IND_rest_gas_kWh/1000)*0.902</f>
        <v>688.62443997587411</v>
      </c>
      <c r="E15" s="33">
        <f>C37*'E Balans VL '!I15/100/3.6*1000000</f>
        <v>31.73738693424291</v>
      </c>
      <c r="F15" s="33">
        <f>C37*'E Balans VL '!L15/100/3.6*1000000+C37*'E Balans VL '!N15/100/3.6*1000000</f>
        <v>703.01659352086449</v>
      </c>
      <c r="G15" s="34"/>
      <c r="H15" s="33"/>
      <c r="I15" s="33"/>
      <c r="J15" s="40">
        <f>C37*'E Balans VL '!D15/100/3.6*1000000+C37*'E Balans VL '!E15/100/3.6*1000000</f>
        <v>23.679180602503301</v>
      </c>
      <c r="K15" s="33"/>
      <c r="L15" s="33"/>
      <c r="M15" s="33"/>
      <c r="N15" s="33">
        <f>C37*'E Balans VL '!Y15/100/3.6*1000000</f>
        <v>63.286032297779457</v>
      </c>
      <c r="O15" s="33"/>
      <c r="P15" s="33"/>
      <c r="R15" s="32"/>
    </row>
    <row r="16" spans="1:18">
      <c r="A16" s="16" t="s">
        <v>489</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7301.2305160296819</v>
      </c>
      <c r="C18" s="21">
        <f>C5+C16</f>
        <v>0</v>
      </c>
      <c r="D18" s="21">
        <f>MAX((D5+D16),0)</f>
        <v>4079.3372291235846</v>
      </c>
      <c r="E18" s="21">
        <f>MAX((E5+E16),0)</f>
        <v>57.864062975648224</v>
      </c>
      <c r="F18" s="21">
        <f>MAX((F5+F16),0)</f>
        <v>1614.065090554825</v>
      </c>
      <c r="G18" s="21"/>
      <c r="H18" s="21"/>
      <c r="I18" s="21"/>
      <c r="J18" s="21">
        <f>MAX((J5+J16),0)</f>
        <v>26.463138638646086</v>
      </c>
      <c r="K18" s="21"/>
      <c r="L18" s="21">
        <f>MAX((L5+L16),0)</f>
        <v>0</v>
      </c>
      <c r="M18" s="21"/>
      <c r="N18" s="21">
        <f>MAX((N5+N16),0)</f>
        <v>160.94924275986375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0.19993551385088065</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1459.7752749661249</v>
      </c>
      <c r="C22" s="23">
        <f ca="1">C18*C20</f>
        <v>0</v>
      </c>
      <c r="D22" s="23">
        <f>D18*D20</f>
        <v>824.02612028296414</v>
      </c>
      <c r="E22" s="23">
        <f>E18*E20</f>
        <v>13.135142295472148</v>
      </c>
      <c r="F22" s="23">
        <f>F18*F20</f>
        <v>430.95537917813829</v>
      </c>
      <c r="G22" s="23"/>
      <c r="H22" s="23"/>
      <c r="I22" s="23"/>
      <c r="J22" s="23">
        <f>J18*J20</f>
        <v>9.3679510780807131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60.487728036817401</v>
      </c>
      <c r="C30" s="39">
        <f>IF(ISERROR(B30*3.6/1000000/'E Balans VL '!Z18*100),0,B30*3.6/1000000/'E Balans VL '!Z18*100)</f>
        <v>4.0267049923129209E-3</v>
      </c>
      <c r="D30" s="234" t="s">
        <v>706</v>
      </c>
    </row>
    <row r="31" spans="1:18">
      <c r="A31" s="6" t="s">
        <v>32</v>
      </c>
      <c r="B31" s="37">
        <f>IF( ISERROR(IND_ander_ele_kWh/1000),0,IND_ander_ele_kWh/1000)</f>
        <v>1020.21212265567</v>
      </c>
      <c r="C31" s="39">
        <f>IF(ISERROR(B31*3.6/1000000/'E Balans VL '!Z19*100),0,B31*3.6/1000000/'E Balans VL '!Z19*100)</f>
        <v>4.5221960350906212E-2</v>
      </c>
      <c r="D31" s="234" t="s">
        <v>706</v>
      </c>
    </row>
    <row r="32" spans="1:18">
      <c r="A32" s="169" t="s">
        <v>40</v>
      </c>
      <c r="B32" s="37">
        <f>IF( ISERROR(IND_voed_ele_kWh/1000),0,IND_voed_ele_kWh/1000)</f>
        <v>350.58811258878404</v>
      </c>
      <c r="C32" s="39">
        <f>IF(ISERROR(B32*3.6/1000000/'E Balans VL '!Z20*100),0,B32*3.6/1000000/'E Balans VL '!Z20*100)</f>
        <v>1.1710648667596463E-2</v>
      </c>
      <c r="D32" s="234" t="s">
        <v>706</v>
      </c>
    </row>
    <row r="33" spans="1:5">
      <c r="A33" s="169" t="s">
        <v>39</v>
      </c>
      <c r="B33" s="37">
        <f>IF( ISERROR(IND_textiel_ele_kWh/1000),0,IND_textiel_ele_kWh/1000)</f>
        <v>2353.24242796002</v>
      </c>
      <c r="C33" s="39">
        <f>IF(ISERROR(B33*3.6/1000000/'E Balans VL '!Z21*100),0,B33*3.6/1000000/'E Balans VL '!Z21*100)</f>
        <v>0.30980979231205436</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3516.70012478839</v>
      </c>
      <c r="C37" s="39">
        <f>IF(ISERROR(B37*3.6/1000000/'E Balans VL '!Z15*100),0,B37*3.6/1000000/'E Balans VL '!Z15*100)</f>
        <v>2.615851973385137E-2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1019.060942729954</v>
      </c>
      <c r="C5" s="17">
        <f>'Eigen informatie GS &amp; warmtenet'!B60</f>
        <v>0</v>
      </c>
      <c r="D5" s="30">
        <f>IF(ISERROR(SUM(LB_lb_gas_kWh,LB_rest_gas_kWh)/1000),0,SUM(LB_lb_gas_kWh,LB_rest_gas_kWh)/1000)*0.902</f>
        <v>116.11850873144124</v>
      </c>
      <c r="E5" s="17">
        <f>B17*'E Balans VL '!I25/3.6*1000000/100</f>
        <v>10.671826809965442</v>
      </c>
      <c r="F5" s="17">
        <f>B17*('E Balans VL '!L25/3.6*1000000+'E Balans VL '!N25/3.6*1000000)/100</f>
        <v>4362.3551567507384</v>
      </c>
      <c r="G5" s="18"/>
      <c r="H5" s="17"/>
      <c r="I5" s="17"/>
      <c r="J5" s="17">
        <f>('E Balans VL '!D25+'E Balans VL '!E25)/3.6*1000000*landbouw!B17/100</f>
        <v>91.011276184837499</v>
      </c>
      <c r="K5" s="17"/>
      <c r="L5" s="17">
        <f>L6*(-1)</f>
        <v>8555.625</v>
      </c>
      <c r="M5" s="17"/>
      <c r="N5" s="17">
        <f>N6*(-1)</f>
        <v>0</v>
      </c>
      <c r="O5" s="17"/>
      <c r="P5" s="17"/>
      <c r="R5" s="32"/>
    </row>
    <row r="6" spans="1:18">
      <c r="A6" s="16" t="s">
        <v>489</v>
      </c>
      <c r="B6" s="17" t="s">
        <v>210</v>
      </c>
      <c r="C6" s="17">
        <f>'lokale energieproductie'!O40+'lokale energieproductie'!O33</f>
        <v>5133.375</v>
      </c>
      <c r="D6" s="304">
        <f>('lokale energieproductie'!P33+'lokale energieproductie'!P40)*(-1)</f>
        <v>0</v>
      </c>
      <c r="E6" s="245"/>
      <c r="F6" s="304">
        <f>('lokale energieproductie'!S33+'lokale energieproductie'!S40)*(-1)</f>
        <v>-2851.875</v>
      </c>
      <c r="G6" s="246"/>
      <c r="H6" s="245"/>
      <c r="I6" s="245"/>
      <c r="J6" s="245"/>
      <c r="K6" s="245"/>
      <c r="L6" s="304">
        <f>('lokale energieproductie'!T33+'lokale energieproductie'!U33+'lokale energieproductie'!T40+'lokale energieproductie'!U40)*(-1)</f>
        <v>-8555.625</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1019.060942729954</v>
      </c>
      <c r="C8" s="21">
        <f>C5+C6</f>
        <v>5133.375</v>
      </c>
      <c r="D8" s="21">
        <f>MAX((D5+D6),0)</f>
        <v>116.11850873144124</v>
      </c>
      <c r="E8" s="21">
        <f>MAX((E5+E6),0)</f>
        <v>10.671826809965442</v>
      </c>
      <c r="F8" s="21">
        <f>MAX((F5+F6),0)</f>
        <v>1510.4801567507384</v>
      </c>
      <c r="G8" s="21"/>
      <c r="H8" s="21"/>
      <c r="I8" s="21"/>
      <c r="J8" s="21">
        <f>MAX((J5+J6),0)</f>
        <v>91.011276184837499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0.19993551385088065</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203.74647323007622</v>
      </c>
      <c r="C12" s="23">
        <f ca="1">C8*C10</f>
        <v>403.12091911764708</v>
      </c>
      <c r="D12" s="23">
        <f>D8*D10</f>
        <v>23.455938763751131</v>
      </c>
      <c r="E12" s="23">
        <f>E8*E10</f>
        <v>2.4225046858621555</v>
      </c>
      <c r="F12" s="23">
        <f>F8*F10</f>
        <v>403.29820185244716</v>
      </c>
      <c r="G12" s="23"/>
      <c r="H12" s="23"/>
      <c r="I12" s="23"/>
      <c r="J12" s="23">
        <f>J8*J10</f>
        <v>32.217991769432473</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0.15685315059759919</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88.098255143725467</v>
      </c>
      <c r="C26" s="244">
        <f>B26*'GWP N2O_CH4'!B5</f>
        <v>1850.0633580182348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11.286551955386903</v>
      </c>
      <c r="C27" s="244">
        <f>B27*'GWP N2O_CH4'!B5</f>
        <v>237.01759106312497</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1.3039828453219195</v>
      </c>
      <c r="C28" s="244">
        <f>B28*'GWP N2O_CH4'!B4</f>
        <v>404.23468204979508</v>
      </c>
      <c r="D28" s="50"/>
    </row>
    <row r="29" spans="1:4">
      <c r="A29" s="41" t="s">
        <v>272</v>
      </c>
      <c r="B29" s="244">
        <f>B34*'ha_N2O bodem landbouw'!B4</f>
        <v>8.475232748591921</v>
      </c>
      <c r="C29" s="244">
        <f>B29*'GWP N2O_CH4'!B4</f>
        <v>2627.3221520634957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1.4006435228414923E-3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2.5304019709013969E-6</v>
      </c>
      <c r="C5" s="435" t="s">
        <v>210</v>
      </c>
      <c r="D5" s="420">
        <f>SUM(D6:D11)</f>
        <v>9.46346406861696E-6</v>
      </c>
      <c r="E5" s="420">
        <f>SUM(E6:E11)</f>
        <v>9.6045679163637217E-4</v>
      </c>
      <c r="F5" s="433" t="s">
        <v>210</v>
      </c>
      <c r="G5" s="420">
        <f>SUM(G6:G11)</f>
        <v>0.18041160763007108</v>
      </c>
      <c r="H5" s="420">
        <f>SUM(H6:H11)</f>
        <v>3.0719528471515982E-2</v>
      </c>
      <c r="I5" s="435" t="s">
        <v>210</v>
      </c>
      <c r="J5" s="435" t="s">
        <v>210</v>
      </c>
      <c r="K5" s="435" t="s">
        <v>210</v>
      </c>
      <c r="L5" s="435" t="s">
        <v>210</v>
      </c>
      <c r="M5" s="420">
        <f>SUM(M6:M11)</f>
        <v>9.1858517738072302E-3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1.6039429643225919E-6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5.0784378537679636E-6</v>
      </c>
      <c r="E6" s="423">
        <f>vkm_GW_PW*SUMIFS(TableVerdeelsleutelVkm[LPG],TableVerdeelsleutelVkm[Voertuigtype],"Lichte voertuigen")*SUMIFS(TableECFTransport[EnergieConsumptieFactor (PJ per km)],TableECFTransport[Index],CONCATENATE($A6,"_LPG_LPG"))</f>
        <v>5.2921738457384685E-4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7.0491887555140353E-2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1.6910851614345152E-2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3.8150557015620597E-3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8.1288781808252345E-8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3.6643126467304284E-2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9.9211196463621638E-7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1.5786011258096012E-3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8.1491635090716905E-7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4.3850262148489963E-6</v>
      </c>
      <c r="E8" s="423">
        <f>vkm_NGW_PW*SUMIFS(TableVerdeelsleutelVkm[LPG],TableVerdeelsleutelVkm[Voertuigtype],"Lichte voertuigen")*SUMIFS(TableECFTransport[EnergieConsumptieFactor (PJ per km)],TableECFTransport[Index],CONCATENATE($A8,"_LPG_LPG"))</f>
        <v>4.3123940706252533E-4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5.4386160539486521E-2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1.3807239060727214E-2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2.978390261742259E-3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3.0253873863383367E-8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1.8890433068139926E-2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4.4568447898023819E-7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8.1380468469330976E-4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0.70288943636149914</v>
      </c>
      <c r="C14" s="21"/>
      <c r="D14" s="21">
        <f t="shared" ref="D14:M14" si="0">((D5)*10^9/3600)+D12</f>
        <v>2.6287400190602668</v>
      </c>
      <c r="E14" s="21">
        <f t="shared" si="0"/>
        <v>266.79355323232562</v>
      </c>
      <c r="F14" s="21"/>
      <c r="G14" s="21">
        <f t="shared" si="0"/>
        <v>50114.335452797517</v>
      </c>
      <c r="H14" s="21">
        <f t="shared" si="0"/>
        <v>8533.2023531988834</v>
      </c>
      <c r="I14" s="21"/>
      <c r="J14" s="21"/>
      <c r="K14" s="21"/>
      <c r="L14" s="21"/>
      <c r="M14" s="21">
        <f t="shared" si="0"/>
        <v>2551.6254927242303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0.19993551385088065</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0.1405325606392922</v>
      </c>
      <c r="C18" s="23"/>
      <c r="D18" s="23">
        <f t="shared" ref="D18:M18" si="1">D14*D16</f>
        <v>0.53100548385017388</v>
      </c>
      <c r="E18" s="23">
        <f t="shared" si="1"/>
        <v>60.562136583737917</v>
      </c>
      <c r="F18" s="23"/>
      <c r="G18" s="23">
        <f t="shared" si="1"/>
        <v>13380.527565896939</v>
      </c>
      <c r="H18" s="23">
        <f t="shared" si="1"/>
        <v>2124.7673859465222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1.1208610106406216E-5</v>
      </c>
      <c r="C50" s="315">
        <f t="shared" ref="C50:P50" si="2">SUM(C51:C52)</f>
        <v>0</v>
      </c>
      <c r="D50" s="315">
        <f t="shared" si="2"/>
        <v>0</v>
      </c>
      <c r="E50" s="315">
        <f t="shared" si="2"/>
        <v>0</v>
      </c>
      <c r="F50" s="315">
        <f t="shared" si="2"/>
        <v>0</v>
      </c>
      <c r="G50" s="315">
        <f t="shared" si="2"/>
        <v>2.4315954297270122E-3</v>
      </c>
      <c r="H50" s="315">
        <f t="shared" si="2"/>
        <v>0</v>
      </c>
      <c r="I50" s="315">
        <f t="shared" si="2"/>
        <v>0</v>
      </c>
      <c r="J50" s="315">
        <f t="shared" si="2"/>
        <v>0</v>
      </c>
      <c r="K50" s="315">
        <f t="shared" si="2"/>
        <v>0</v>
      </c>
      <c r="L50" s="315">
        <f t="shared" si="2"/>
        <v>0</v>
      </c>
      <c r="M50" s="315">
        <f t="shared" si="2"/>
        <v>1.0411157593733039E-4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1.1208610106406216E-5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2.4315954297270122E-3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1.0411157593733039E-4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3.1135028073350597</v>
      </c>
      <c r="C54" s="21">
        <f t="shared" ref="C54:P54" si="3">(C50)*10^9/3600</f>
        <v>0</v>
      </c>
      <c r="D54" s="21">
        <f t="shared" si="3"/>
        <v>0</v>
      </c>
      <c r="E54" s="21">
        <f t="shared" si="3"/>
        <v>0</v>
      </c>
      <c r="F54" s="21">
        <f t="shared" si="3"/>
        <v>0</v>
      </c>
      <c r="G54" s="21">
        <f t="shared" si="3"/>
        <v>675.44317492417008</v>
      </c>
      <c r="H54" s="21">
        <f t="shared" si="3"/>
        <v>0</v>
      </c>
      <c r="I54" s="21">
        <f t="shared" si="3"/>
        <v>0</v>
      </c>
      <c r="J54" s="21">
        <f t="shared" si="3"/>
        <v>0</v>
      </c>
      <c r="K54" s="21">
        <f t="shared" si="3"/>
        <v>0</v>
      </c>
      <c r="L54" s="21">
        <f t="shared" si="3"/>
        <v>0</v>
      </c>
      <c r="M54" s="21">
        <f t="shared" si="3"/>
        <v>28.919882204813998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0.19993551385088065</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0.62249978366069458</v>
      </c>
      <c r="C58" s="23">
        <f t="shared" ref="C58:P58" ca="1" si="4">C54*C56</f>
        <v>0</v>
      </c>
      <c r="D58" s="23">
        <f t="shared" si="4"/>
        <v>0</v>
      </c>
      <c r="E58" s="23">
        <f t="shared" si="4"/>
        <v>0</v>
      </c>
      <c r="F58" s="23">
        <f t="shared" si="4"/>
        <v>0</v>
      </c>
      <c r="G58" s="23">
        <f t="shared" si="4"/>
        <v>180.34332770475342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1635.5632333311896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4563</v>
      </c>
      <c r="C8" s="546">
        <f>B49</f>
        <v>0</v>
      </c>
      <c r="D8" s="965"/>
      <c r="E8" s="965">
        <f>E49</f>
        <v>1342.0588235294117</v>
      </c>
      <c r="F8" s="966"/>
      <c r="G8" s="547"/>
      <c r="H8" s="965">
        <f>I49</f>
        <v>0</v>
      </c>
      <c r="I8" s="965">
        <f>G49+F49</f>
        <v>4026.1764705882351</v>
      </c>
      <c r="J8" s="965">
        <f>H49+D49+C49</f>
        <v>0</v>
      </c>
      <c r="K8" s="965"/>
      <c r="L8" s="965"/>
      <c r="M8" s="965"/>
      <c r="N8" s="548"/>
      <c r="O8" s="549">
        <f>C8*$C$12+D8*$D$12+E8*$E$12+F8*$F$12+G8*$G$12+H8*$H$12+I8*$I$12+J8*$J$12</f>
        <v>358.32970588235293</v>
      </c>
      <c r="P8" s="1255"/>
      <c r="Q8" s="1256"/>
      <c r="S8" s="998"/>
      <c r="T8" s="1252"/>
      <c r="U8" s="1252"/>
    </row>
    <row r="9" spans="1:21" s="534" customFormat="1" ht="17.45" customHeight="1" thickBot="1">
      <c r="A9" s="550" t="s">
        <v>243</v>
      </c>
      <c r="B9" s="1002">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6198.5632333311896</v>
      </c>
      <c r="C10" s="558">
        <f t="shared" ref="C10:L10" si="0">SUM(C8:C9)</f>
        <v>0</v>
      </c>
      <c r="D10" s="558">
        <f t="shared" si="0"/>
        <v>0</v>
      </c>
      <c r="E10" s="558">
        <f t="shared" si="0"/>
        <v>1342.0588235294117</v>
      </c>
      <c r="F10" s="558">
        <f t="shared" si="0"/>
        <v>0</v>
      </c>
      <c r="G10" s="558">
        <f t="shared" si="0"/>
        <v>0</v>
      </c>
      <c r="H10" s="558">
        <f t="shared" si="0"/>
        <v>0</v>
      </c>
      <c r="I10" s="558">
        <f t="shared" si="0"/>
        <v>4026.1764705882351</v>
      </c>
      <c r="J10" s="558">
        <f t="shared" si="0"/>
        <v>0</v>
      </c>
      <c r="K10" s="558">
        <f t="shared" si="0"/>
        <v>0</v>
      </c>
      <c r="L10" s="558">
        <f t="shared" si="0"/>
        <v>0</v>
      </c>
      <c r="M10" s="960"/>
      <c r="N10" s="960"/>
      <c r="O10" s="559">
        <f>SUM(O4:O9)</f>
        <v>358.32970588235293</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5133.375</v>
      </c>
      <c r="C17" s="570">
        <f>B50</f>
        <v>0</v>
      </c>
      <c r="D17" s="571"/>
      <c r="E17" s="571">
        <f>E50</f>
        <v>1509.8161764705883</v>
      </c>
      <c r="F17" s="572"/>
      <c r="G17" s="573"/>
      <c r="H17" s="570">
        <f>I50</f>
        <v>0</v>
      </c>
      <c r="I17" s="571">
        <f>G50+F50</f>
        <v>4529.4485294117649</v>
      </c>
      <c r="J17" s="571">
        <f>H50+D50+C50</f>
        <v>0</v>
      </c>
      <c r="K17" s="571"/>
      <c r="L17" s="571"/>
      <c r="M17" s="571"/>
      <c r="N17" s="961"/>
      <c r="O17" s="574">
        <f>C17*$C$22+E17*$E$22+H17*$H$22+I17*$I$22+J17*$J$22+D17*$D$22+F17*$F$22+G17*$G$22+K17*$K$22+L17*$L$22</f>
        <v>403.12091911764708</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5133.375</v>
      </c>
      <c r="C20" s="557">
        <f>SUM(C17:C19)</f>
        <v>0</v>
      </c>
      <c r="D20" s="557">
        <f t="shared" ref="D20:L20" si="1">SUM(D17:D19)</f>
        <v>0</v>
      </c>
      <c r="E20" s="557">
        <f t="shared" si="1"/>
        <v>1509.8161764705883</v>
      </c>
      <c r="F20" s="557">
        <f t="shared" si="1"/>
        <v>0</v>
      </c>
      <c r="G20" s="557">
        <f t="shared" si="1"/>
        <v>0</v>
      </c>
      <c r="H20" s="557">
        <f t="shared" si="1"/>
        <v>0</v>
      </c>
      <c r="I20" s="557">
        <f t="shared" si="1"/>
        <v>4529.4485294117649</v>
      </c>
      <c r="J20" s="557">
        <f t="shared" si="1"/>
        <v>0</v>
      </c>
      <c r="K20" s="557">
        <f t="shared" si="1"/>
        <v>0</v>
      </c>
      <c r="L20" s="557">
        <f t="shared" si="1"/>
        <v>0</v>
      </c>
      <c r="M20" s="557"/>
      <c r="N20" s="557"/>
      <c r="O20" s="578">
        <f>SUM(O17:O19)</f>
        <v>403.12091911764708</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23060</v>
      </c>
      <c r="C28" s="777">
        <v>1745</v>
      </c>
      <c r="D28" s="630" t="s">
        <v>983</v>
      </c>
      <c r="E28" s="629" t="s">
        <v>984</v>
      </c>
      <c r="F28" s="629" t="s">
        <v>985</v>
      </c>
      <c r="G28" s="629" t="s">
        <v>986</v>
      </c>
      <c r="H28" s="629" t="s">
        <v>987</v>
      </c>
      <c r="I28" s="629" t="s">
        <v>984</v>
      </c>
      <c r="J28" s="776">
        <v>40444</v>
      </c>
      <c r="K28" s="776">
        <v>40444</v>
      </c>
      <c r="L28" s="629" t="s">
        <v>988</v>
      </c>
      <c r="M28" s="629">
        <v>294</v>
      </c>
      <c r="N28" s="629">
        <v>1323</v>
      </c>
      <c r="O28" s="629">
        <v>1488.375</v>
      </c>
      <c r="P28" s="629">
        <v>0</v>
      </c>
      <c r="Q28" s="629">
        <v>0</v>
      </c>
      <c r="R28" s="629">
        <v>0</v>
      </c>
      <c r="S28" s="629">
        <v>826.875</v>
      </c>
      <c r="T28" s="629">
        <v>2480.625</v>
      </c>
      <c r="U28" s="629">
        <v>0</v>
      </c>
      <c r="V28" s="629">
        <v>0</v>
      </c>
      <c r="W28" s="629">
        <v>0</v>
      </c>
      <c r="X28" s="629">
        <v>10</v>
      </c>
      <c r="Y28" s="629" t="s">
        <v>111</v>
      </c>
      <c r="Z28" s="631" t="s">
        <v>111</v>
      </c>
    </row>
    <row r="29" spans="1:26" s="583" customFormat="1" ht="38.25">
      <c r="A29" s="582"/>
      <c r="B29" s="777">
        <v>23060</v>
      </c>
      <c r="C29" s="777">
        <v>1745</v>
      </c>
      <c r="D29" s="630" t="s">
        <v>989</v>
      </c>
      <c r="E29" s="629" t="s">
        <v>990</v>
      </c>
      <c r="F29" s="629" t="s">
        <v>991</v>
      </c>
      <c r="G29" s="629" t="s">
        <v>986</v>
      </c>
      <c r="H29" s="629" t="s">
        <v>987</v>
      </c>
      <c r="I29" s="629" t="s">
        <v>990</v>
      </c>
      <c r="J29" s="776">
        <v>39066</v>
      </c>
      <c r="K29" s="776">
        <v>39063</v>
      </c>
      <c r="L29" s="629" t="s">
        <v>988</v>
      </c>
      <c r="M29" s="629">
        <v>720</v>
      </c>
      <c r="N29" s="629">
        <v>3240</v>
      </c>
      <c r="O29" s="629">
        <v>3645</v>
      </c>
      <c r="P29" s="629">
        <v>0</v>
      </c>
      <c r="Q29" s="629">
        <v>0</v>
      </c>
      <c r="R29" s="629">
        <v>0</v>
      </c>
      <c r="S29" s="629">
        <v>2025</v>
      </c>
      <c r="T29" s="629">
        <v>6075</v>
      </c>
      <c r="U29" s="629">
        <v>0</v>
      </c>
      <c r="V29" s="629">
        <v>0</v>
      </c>
      <c r="W29" s="629">
        <v>0</v>
      </c>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1014</v>
      </c>
      <c r="N30" s="587">
        <f>SUM(N28:N29)</f>
        <v>4563</v>
      </c>
      <c r="O30" s="587">
        <f>SUM(O28:O29)</f>
        <v>5133.375</v>
      </c>
      <c r="P30" s="587">
        <f>SUM(P28:P29)</f>
        <v>0</v>
      </c>
      <c r="Q30" s="587">
        <f>SUM(Q28:Q29)</f>
        <v>0</v>
      </c>
      <c r="R30" s="587">
        <f>SUM(R28:R29)</f>
        <v>0</v>
      </c>
      <c r="S30" s="587">
        <f>SUM(S28:S29)</f>
        <v>2851.875</v>
      </c>
      <c r="T30" s="587">
        <f>SUM(T28:T29)</f>
        <v>8555.625</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1014</v>
      </c>
      <c r="N33" s="592">
        <f>SUMIF($Z$28:$Z$29,"landbouw",N28:N29)</f>
        <v>4563</v>
      </c>
      <c r="O33" s="592">
        <f>SUMIF($Z$28:$Z$29,"landbouw",O28:O29)</f>
        <v>5133.375</v>
      </c>
      <c r="P33" s="592">
        <f>SUMIF($Z$28:$Z$29,"landbouw",P28:P29)</f>
        <v>0</v>
      </c>
      <c r="Q33" s="592">
        <f>SUMIF($Z$28:$Z$29,"landbouw",Q28:Q29)</f>
        <v>0</v>
      </c>
      <c r="R33" s="592">
        <f>SUMIF($Z$28:$Z$29,"landbouw",R28:R29)</f>
        <v>0</v>
      </c>
      <c r="S33" s="592">
        <f>SUMIF($Z$28:$Z$29,"landbouw",S28:S29)</f>
        <v>2851.875</v>
      </c>
      <c r="T33" s="592">
        <f>SUMIF($Z$28:$Z$29,"landbouw",T28:T29)</f>
        <v>8555.625</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0.52941176470588236</v>
      </c>
      <c r="C46" s="612">
        <f>IF(ISERROR(N30/(O30+N30)),0,N30/(N30+O30))</f>
        <v>0.47058823529411764</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0</v>
      </c>
      <c r="C49" s="621">
        <f t="shared" si="2"/>
        <v>0</v>
      </c>
      <c r="D49" s="621">
        <f t="shared" si="2"/>
        <v>0</v>
      </c>
      <c r="E49" s="621">
        <f t="shared" si="2"/>
        <v>1342.0588235294117</v>
      </c>
      <c r="F49" s="621">
        <f t="shared" si="2"/>
        <v>4026.1764705882351</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0</v>
      </c>
      <c r="C50" s="624">
        <f t="shared" si="3"/>
        <v>0</v>
      </c>
      <c r="D50" s="624">
        <f t="shared" si="3"/>
        <v>0</v>
      </c>
      <c r="E50" s="624">
        <f t="shared" si="3"/>
        <v>1509.8161764705883</v>
      </c>
      <c r="F50" s="624">
        <f t="shared" si="3"/>
        <v>4529.4485294117649</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2021-06-29T16:55:11Z</dcterms:modified>
</cp:coreProperties>
</file>