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Q46" i="14"/>
  <c r="Q61" i="14" s="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<sst xmlns="http://schemas.openxmlformats.org/spreadsheetml/2006/main" count="2581" uniqueCount="983">
  <si>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</si>
  <si>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</si>
  <si>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</si>
  <si>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</si>
  <si>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</si>
  <si>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</si>
  <si>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</si>
  <si>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</si>
  <si>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</si>
  <si>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</si>
  <si>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</si>
  <si>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</si>
  <si>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</si>
  <si>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</si>
  <si>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</si>
  <si>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</si>
  <si>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</si>
  <si>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</si>
  <si>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</si>
  <si>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</si>
  <si>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</si>
  <si>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</si>
  <si>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</si>
  <si>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</si>
  <si>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</si>
  <si>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</si>
  <si>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</si>
  <si>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</si>
  <si>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</si>
  <si>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</si>
  <si>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</si>
  <si>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</si>
  <si>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</si>
  <si>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</si>
  <si>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</si>
  <si>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</si>
  <si>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</si>
  <si>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</si>
  <si>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</si>
  <si>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</si>
  <si>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</si>
  <si>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</si>
  <si>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</si>
  <si>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</si>
  <si>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</si>
  <si>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</si>
  <si>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</si>
  <si>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</si>
  <si>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</si>
  <si>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</si>
  <si>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</si>
  <si>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</si>
  <si>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</si>
  <si>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</si>
  <si>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</si>
  <si>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</si>
  <si>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</si>
  <si>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</si>
  <si>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</si>
  <si>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</si>
  <si>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</si>
  <si>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</si>
  <si>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</si>
  <si>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</si>
  <si>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</si>
  <si>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</si>
  <si>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</si>
  <si>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</si>
  <si>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</si>
  <si>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</si>
  <si>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</si>
  <si>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</si>
  <si>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</si>
  <si>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</si>
  <si>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</si>
  <si>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</si>
  <si>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</si>
  <si>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</si>
  <si>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</si>
  <si>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</si>
  <si>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</si>
  <si>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</si>
  <si>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</si>
  <si>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</si>
  <si>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</si>
  <si>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</si>
  <si>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</si>
  <si>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</si>
  <si>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</si>
  <si>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</si>
  <si>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</si>
  <si>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</si>
  <si>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</si>
  <si>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</si>
  <si>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</si>
  <si>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</si>
  <si>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</si>
  <si>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</si>
  <si>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</si>
  <si>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</si>
  <si>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</si>
  <si>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</si>
  <si>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</si>
  <si>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</si>
  <si>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</si>
  <si>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</si>
  <si>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</si>
  <si>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</si>
  <si>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</si>
  <si>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</si>
  <si>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</si>
  <si>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</si>
  <si>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</si>
  <si>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</si>
  <si>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</si>
  <si>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</si>
  <si>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</si>
  <si>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</si>
  <si>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</si>
  <si>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</si>
  <si>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</si>
  <si>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</si>
  <si>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</si>
  <si>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</si>
  <si>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</si>
  <si>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</si>
  <si>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</si>
  <si>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</si>
  <si>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</si>
  <si>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</si>
  <si>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</si>
  <si>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</si>
  <si>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</si>
  <si>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</si>
  <si>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</si>
  <si>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</si>
  <si>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</si>
  <si>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</si>
  <si>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</si>
  <si>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</si>
  <si>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</si>
  <si>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</si>
  <si>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</si>
  <si>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</si>
  <si>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</si>
  <si>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</si>
  <si>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</si>
  <si>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</si>
  <si>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</si>
  <si>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</si>
  <si>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</si>
  <si>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</si>
  <si>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</si>
  <si>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</si>
  <si>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</si>
  <si>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</si>
  <si>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</si>
  <si>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</si>
  <si>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</si>
  <si>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</si>
  <si>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</si>
  <si>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</si>
  <si>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</si>
  <si>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</si>
  <si>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</si>
  <si>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</si>
  <si>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</si>
  <si>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</si>
  <si>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</si>
  <si>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</si>
  <si>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</si>
  <si>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</si>
  <si>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</si>
  <si>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</si>
  <si>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</si>
  <si>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</si>
  <si>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</si>
  <si>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</si>
  <si>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</si>
  <si>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</si>
  <si>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</si>
  <si>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</si>
  <si>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</si>
  <si>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</si>
  <si>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</si>
  <si>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</si>
  <si>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</si>
  <si>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</si>
  <si>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</si>
  <si>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</si>
  <si>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</si>
  <si>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</si>
  <si>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</si>
  <si>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</si>
  <si>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</si>
  <si>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</si>
  <si>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</si>
  <si>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</si>
  <si>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</si>
  <si>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</si>
  <si>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</si>
  <si>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</si>
  <si>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</si>
  <si>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</si>
  <si>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</si>
  <si>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</si>
  <si>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</si>
  <si>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</si>
  <si>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</si>
  <si>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</si>
  <si>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</si>
  <si>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</si>
  <si>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</si>
  <si>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</si>
  <si>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</si>
  <si>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</si>
  <si>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</si>
  <si>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</si>
  <si>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</si>
  <si>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</si>
  <si>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</si>
  <si>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</si>
  <si>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</si>
  <si>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</si>
  <si>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</si>
  <si>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</si>
  <si>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</si>
  <si>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</si>
  <si>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</si>
  <si>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</si>
  <si>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</si>
  <si>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</si>
  <si>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</si>
  <si>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</si>
  <si>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</si>
  <si>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</si>
  <si>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</si>
  <si>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</si>
  <si>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</si>
  <si>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</si>
  <si>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</si>
  <si>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</si>
  <si>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</si>
  <si>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</si>
  <si>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</si>
  <si>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</si>
  <si>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</si>
  <si>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</si>
  <si>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</si>
  <si>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</si>
  <si>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</si>
  <si>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</si>
  <si>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</si>
  <si>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</si>
  <si>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</si>
  <si>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</si>
  <si>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</si>
  <si>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</si>
  <si>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</si>
  <si>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</si>
  <si>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</si>
  <si>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</si>
  <si>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</si>
  <si>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</si>
  <si>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</si>
  <si>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</si>
  <si>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</si>
  <si>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</si>
  <si>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</si>
  <si>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</si>
  <si>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</si>
  <si>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</si>
  <si>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</si>
  <si>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</si>
  <si>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</si>
  <si>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</si>
  <si>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</si>
  <si>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</si>
  <si>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</si>
  <si>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</si>
  <si>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</si>
  <si>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</si>
  <si>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</si>
  <si>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</si>
  <si>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</si>
  <si>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</si>
  <si>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</si>
  <si>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</si>
  <si>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</si>
  <si>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</si>
  <si>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</si>
  <si>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</si>
  <si>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</si>
  <si>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</si>
  <si>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</si>
  <si>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</si>
  <si>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</si>
  <si>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</si>
  <si>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</si>
  <si>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</si>
  <si>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</si>
  <si>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</si>
  <si>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</si>
  <si>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</si>
  <si>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</si>
  <si>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</si>
  <si>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</si>
  <si>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</si>
  <si>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</si>
  <si>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</si>
  <si>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</si>
  <si>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</si>
  <si>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</si>
  <si>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</si>
  <si>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</si>
  <si>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</si>
  <si>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</si>
  <si>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</si>
  <si>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</si>
  <si>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</si>
  <si>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</si>
  <si>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</si>
  <si>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</si>
  <si>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</si>
  <si>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</si>
  <si>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</si>
  <si>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</si>
  <si>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</si>
  <si>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</si>
  <si>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</si>
  <si>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</si>
  <si>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</si>
  <si>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</si>
  <si>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</si>
  <si>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</si>
  <si>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</si>
  <si>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</si>
  <si>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</si>
  <si>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</si>
  <si>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</si>
  <si>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</si>
  <si>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</si>
  <si>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</si>
  <si>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</si>
  <si>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</si>
  <si>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</si>
  <si>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</si>
  <si>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</si>
  <si>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</si>
  <si>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</si>
  <si>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</si>
  <si>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</si>
  <si>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</si>
  <si>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</si>
  <si>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</si>
  <si>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</si>
  <si>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</si>
  <si>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</si>
  <si>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</si>
  <si>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</si>
  <si>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</si>
  <si>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</si>
  <si>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</si>
  <si>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</si>
  <si>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</si>
  <si>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</si>
  <si>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</si>
  <si>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</si>
  <si>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</si>
  <si>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</si>
  <si>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</si>
  <si>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</si>
  <si>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</si>
  <si>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</si>
  <si>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</si>
  <si>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</si>
  <si>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</si>
  <si>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</si>
  <si>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</si>
  <si>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</si>
  <si>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</si>
  <si>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</si>
  <si>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</si>
  <si>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</si>
  <si>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</si>
  <si>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</si>
  <si>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</si>
  <si>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</si>
  <si>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</si>
  <si>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</si>
  <si>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</si>
  <si>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</si>
  <si>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</si>
  <si>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</si>
  <si>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</si>
  <si>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</si>
  <si>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</si>
  <si>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</si>
  <si>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</si>
  <si>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</si>
  <si>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</si>
  <si>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</si>
  <si>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</si>
  <si>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</si>
  <si>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</si>
  <si>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</si>
  <si>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</si>
  <si>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</si>
  <si>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</si>
  <si>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</si>
  <si>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</si>
  <si>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</si>
  <si>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</si>
  <si>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</si>
  <si>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</si>
  <si>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</si>
  <si>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</si>
  <si>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</si>
  <si>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</si>
  <si>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</si>
  <si>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</si>
  <si>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</si>
  <si>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</si>
  <si>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</si>
  <si>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</si>
  <si>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</si>
  <si>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</si>
  <si>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</si>
  <si>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</si>
  <si>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</si>
  <si>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</si>
  <si>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</si>
  <si>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</si>
  <si>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</si>
  <si>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</si>
  <si>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</si>
  <si>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</si>
  <si>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</si>
  <si>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</si>
  <si>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</si>
  <si>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</si>
  <si>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</si>
  <si>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</si>
  <si>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</si>
  <si>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</si>
  <si>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</si>
  <si>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</si>
  <si>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</si>
  <si>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</si>
  <si>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</si>
  <si>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</si>
  <si>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</si>
  <si>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</si>
  <si>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</si>
  <si>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</si>
  <si>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</si>
  <si>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</si>
  <si>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</si>
  <si>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</si>
  <si>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</si>
  <si>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</si>
  <si>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</si>
  <si>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</si>
  <si>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</si>
  <si>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</si>
  <si>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</si>
  <si>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</si>
  <si>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</si>
  <si>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</si>
  <si>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</si>
  <si>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</si>
  <si>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</si>
  <si>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</si>
  <si>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</si>
  <si>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</si>
  <si>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</si>
  <si>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</si>
  <si>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</si>
  <si>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</si>
  <si>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</si>
  <si>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</si>
  <si>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</si>
  <si>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</si>
  <si>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</si>
  <si>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</si>
  <si>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</si>
  <si>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</si>
  <si>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</si>
  <si>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</si>
  <si>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</si>
  <si>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</si>
  <si>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</si>
  <si>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</si>
  <si>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</si>
  <si>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</si>
  <si>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</si>
  <si>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</si>
  <si>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</si>
  <si>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</si>
  <si>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</si>
  <si>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</si>
  <si>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</si>
  <si>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</si>
  <si>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</si>
  <si>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</si>
  <si>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</si>
  <si>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</si>
  <si>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</si>
  <si>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</si>
  <si>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</si>
  <si>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</si>
  <si>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</si>
  <si>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</si>
  <si>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</si>
  <si>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</si>
  <si>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</si>
  <si>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</si>
  <si>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</si>
  <si>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</si>
  <si>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</si>
  <si>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</si>
  <si>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</si>
  <si>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</si>
  <si>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</si>
  <si>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</si>
  <si>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</si>
  <si>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</si>
  <si>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</si>
  <si>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</si>
  <si>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</si>
  <si>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</si>
  <si>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</si>
  <si>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</si>
  <si>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</si>
  <si>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</si>
  <si>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</si>
  <si>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</si>
  <si>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</si>
  <si>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</si>
  <si>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</si>
  <si>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</si>
  <si>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</si>
  <si>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</si>
  <si>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</si>
  <si>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</si>
  <si>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</si>
  <si>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</si>
  <si>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</si>
  <si>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</si>
  <si>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</si>
  <si>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</si>
  <si>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</si>
  <si>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</si>
  <si>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</si>
  <si>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</si>
  <si>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</si>
  <si>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</si>
  <si>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</si>
  <si>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</si>
  <si>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</si>
  <si>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</si>
  <si>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</si>
  <si>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</si>
  <si>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</si>
  <si>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</si>
  <si>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</si>
  <si>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</si>
  <si>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</si>
  <si>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</si>
  <si>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</si>
  <si>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</si>
  <si>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</si>
  <si>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</si>
  <si>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</si>
  <si>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</si>
  <si>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</si>
  <si>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</si>
  <si>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</si>
  <si>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</si>
  <si>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</si>
  <si>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</si>
  <si>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</si>
  <si>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</si>
  <si>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</si>
  <si>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</si>
  <si>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</si>
  <si>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</si>
  <si>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</si>
  <si>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</si>
  <si>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</si>
  <si>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</si>
  <si>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</si>
  <si>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</si>
  <si>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</si>
  <si>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</si>
  <si>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</si>
  <si>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</si>
  <si>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</si>
  <si>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</si>
  <si>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</si>
  <si>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</si>
  <si>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</si>
  <si>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</si>
  <si>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</si>
  <si>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</si>
  <si>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</si>
  <si>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</si>
  <si>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</si>
  <si>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</si>
  <si>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</si>
  <si>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</si>
  <si>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</si>
  <si>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</si>
  <si>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</si>
  <si>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</si>
  <si>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</si>
  <si>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</si>
  <si>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</si>
  <si>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</si>
  <si>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</si>
  <si>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</si>
  <si>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</si>
  <si>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</si>
  <si>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</si>
  <si>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</si>
  <si>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</si>
  <si>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</si>
  <si>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</si>
  <si>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</si>
  <si>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</si>
  <si>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</si>
  <si>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</si>
  <si>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</si>
  <si>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</si>
  <si>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</si>
  <si>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</si>
  <si>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</si>
  <si>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</si>
  <si>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</si>
  <si>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</si>
  <si>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</si>
  <si>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</si>
  <si>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</si>
  <si>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</si>
  <si>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</si>
  <si>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</si>
  <si>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</si>
  <si>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</si>
  <si>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</si>
  <si>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</si>
  <si>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</si>
  <si>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</si>
  <si>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</si>
  <si>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</si>
  <si>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</si>
  <si>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</si>
  <si>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</si>
  <si>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</si>
  <si>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</si>
  <si>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</si>
  <si>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</si>
  <si>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</si>
  <si>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</si>
  <si>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</si>
  <si>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</si>
  <si>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</si>
  <si>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</si>
  <si>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</si>
  <si>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</si>
  <si>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</si>
  <si>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</si>
  <si>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</si>
  <si>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</si>
  <si>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</si>
  <si>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</si>
  <si>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</si>
  <si>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</si>
  <si>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</si>
  <si>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</si>
  <si>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</si>
  <si>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</si>
  <si>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</si>
  <si>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</si>
  <si>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</si>
  <si>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</si>
  <si>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</si>
  <si>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</si>
  <si>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</si>
  <si>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</si>
  <si>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</si>
  <si>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</si>
  <si>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</si>
  <si>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</si>
  <si>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</si>
  <si>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</si>
  <si>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</si>
  <si>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</si>
  <si>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</si>
  <si>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</si>
  <si>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</si>
  <si>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</si>
  <si>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</si>
  <si>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</si>
  <si>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</si>
  <si>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</si>
  <si>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</si>
  <si>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</si>
  <si>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</si>
  <si>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</si>
  <si>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</si>
  <si>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</si>
  <si>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</si>
  <si>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</si>
  <si>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</si>
  <si>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</si>
  <si>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</si>
  <si>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</si>
  <si>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</si>
  <si>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</si>
  <si>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</si>
  <si>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</si>
  <si>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</si>
  <si>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</si>
  <si>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</si>
  <si>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</si>
  <si>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</si>
  <si>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</si>
  <si>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</si>
  <si>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</si>
  <si>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</si>
  <si>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</si>
  <si>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</si>
  <si>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</si>
  <si>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</si>
  <si>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</si>
  <si>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</si>
  <si>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</si>
  <si>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</si>
  <si>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</si>
  <si>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</si>
  <si>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</si>
  <si>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</si>
  <si>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</si>
  <si>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</si>
  <si>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</si>
  <si>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</si>
  <si>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</si>
  <si>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</si>
  <si>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</si>
  <si>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</si>
  <si>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</si>
  <si>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</si>
  <si>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</si>
  <si>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</si>
  <si>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</si>
  <si>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</si>
  <si>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</si>
  <si>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</si>
  <si>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</si>
  <si>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</si>
  <si>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</si>
  <si>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</si>
  <si>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</si>
  <si>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</si>
  <si>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</si>
  <si>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</si>
  <si>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</si>
  <si>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</si>
  <si>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</si>
  <si>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</si>
  <si>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</si>
  <si>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</si>
  <si>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</si>
  <si>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</si>
  <si>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</si>
  <si>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</si>
  <si>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</si>
  <si>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</si>
  <si>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</si>
  <si>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</si>
  <si>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</si>
  <si>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</si>
  <si>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</si>
  <si>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</si>
  <si>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</si>
  <si>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</si>
  <si>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</si>
  <si>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</si>
  <si>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</si>
  <si>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</si>
  <si>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</si>
  <si>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</si>
  <si>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</si>
  <si>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</si>
  <si>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</si>
  <si>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</si>
  <si>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</si>
  <si>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</si>
  <si>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</si>
  <si>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</si>
  <si>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</si>
  <si>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</si>
  <si>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</si>
  <si>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</si>
  <si>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</si>
  <si>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</si>
  <si>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</si>
  <si>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</si>
  <si>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</si>
  <si>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</si>
  <si>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</si>
  <si>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</si>
  <si>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</si>
  <si>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</si>
  <si>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</si>
  <si>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</si>
  <si>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</si>
  <si>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</si>
  <si>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</si>
  <si>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</si>
  <si>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</si>
  <si>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</si>
  <si>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</si>
  <si>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</si>
  <si>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</si>
  <si>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</si>
  <si>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</si>
  <si>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</si>
  <si>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</si>
  <si>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</si>
  <si>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</si>
  <si>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</si>
  <si>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</si>
  <si>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</si>
  <si>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</si>
  <si>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</si>
  <si>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</si>
  <si>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</si>
  <si>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</si>
  <si>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</si>
  <si>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</si>
  <si>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</si>
  <si>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</si>
  <si>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</si>
  <si>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</si>
  <si>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</si>
  <si>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</si>
  <si>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</si>
  <si>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</si>
  <si>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</si>
  <si>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</si>
  <si>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</si>
  <si>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</si>
  <si>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</si>
  <si>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</si>
  <si>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</si>
  <si>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</si>
  <si>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</si>
  <si>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</si>
  <si>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</si>
  <si>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</si>
  <si>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</si>
  <si>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</si>
  <si>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</si>
  <si>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</si>
  <si>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</si>
  <si>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</si>
  <si>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</si>
  <si>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</si>
  <si>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</si>
  <si>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</si>
  <si>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</si>
  <si>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</si>
  <si>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</si>
  <si>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</si>
  <si>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</si>
  <si>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</si>
  <si>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</si>
  <si>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</si>
  <si>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</si>
  <si>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</si>
  <si>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</si>
  <si>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</si>
  <si>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</si>
  <si>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</si>
  <si>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</si>
  <si>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</si>
  <si>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</si>
  <si>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</si>
  <si>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</si>
  <si>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</si>
  <si>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</si>
  <si>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</si>
  <si>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</si>
  <si>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</si>
  <si>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</si>
  <si>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</si>
  <si>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</si>
  <si>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</si>
  <si>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</si>
  <si>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</si>
  <si>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</si>
  <si>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</si>
  <si>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</si>
  <si>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</si>
  <si>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</si>
  <si>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</si>
  <si>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</si>
  <si>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</si>
  <si>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</si>
  <si>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</si>
  <si>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</si>
  <si>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</si>
  <si>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</si>
  <si>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</si>
  <si>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</si>
  <si>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</si>
  <si>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</si>
  <si>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</si>
  <si>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</si>
  <si>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</si>
  <si>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</si>
  <si>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</si>
  <si>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</si>
  <si>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</si>
  <si>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</si>
  <si>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</si>
  <si>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</si>
  <si>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</si>
  <si>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</si>
  <si>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</si>
  <si>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</si>
  <si>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</si>
  <si>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</si>
  <si>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</si>
  <si>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</si>
  <si>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</si>
  <si>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</si>
  <si>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</si>
  <si>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</si>
  <si>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</si>
  <si>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</si>
  <si>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</si>
  <si>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</si>
  <si>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</si>
  <si>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</si>
  <si>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</si>
  <si>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</si>
  <si>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</si>
  <si>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</si>
  <si>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</si>
  <si>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</si>
  <si>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</si>
  <si>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</si>
  <si>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</si>
  <si>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</si>
  <si>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</si>
  <si>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</si>
  <si>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</si>
  <si>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</si>
  <si>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</si>
  <si>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</si>
  <si>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</si>
  <si>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</si>
  <si>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</si>
  <si>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</si>
  <si>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</si>
  <si>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</si>
  <si>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</si>
  <si>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</si>
  <si>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</si>
  <si>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</si>
  <si>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</si>
  <si>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</si>
  <si>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</si>
  <si>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</si>
  <si>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23052</t>
  </si>
  <si>
    <t>MERCHTEM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</si>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</sst>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23052</v>
      </c>
      <c r="B6" s="386"/>
      <c r="C6" s="387"/>
    </row>
    <row r="7" spans="1:7" s="384" customFormat="1" ht="15.75" customHeight="1">
      <c r="A7" s="388" t="str">
        <f>txtMunicipality</f>
        <v>MERCHTEM</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16230.867628983468</v>
      </c>
      <c r="D10" s="676">
        <f ca="1">tertiair!C16</f>
        <v>0</v>
      </c>
      <c r="E10" s="676">
        <f ca="1">tertiair!D16</f>
        <v>17148.527492886918</v>
      </c>
      <c r="F10" s="676">
        <f>tertiair!E16</f>
        <v>328.452405374053</v>
      </c>
      <c r="G10" s="676">
        <f ca="1">tertiair!F16</f>
        <v>2728.4324124036148</v>
      </c>
      <c r="H10" s="676">
        <f>tertiair!G16</f>
        <v>0</v>
      </c>
      <c r="I10" s="676">
        <f>tertiair!H16</f>
        <v>0</v>
      </c>
      <c r="J10" s="676">
        <f>tertiair!I16</f>
        <v>0</v>
      </c>
      <c r="K10" s="676">
        <f>tertiair!J16</f>
        <v>0</v>
      </c>
      <c r="L10" s="676">
        <f>tertiair!K16</f>
        <v>0</v>
      </c>
      <c r="M10" s="676">
        <f ca="1">tertiair!L16</f>
        <v>0</v>
      </c>
      <c r="N10" s="676">
        <f>tertiair!M16</f>
        <v>0</v>
      </c>
      <c r="O10" s="676">
        <f ca="1">tertiair!N16</f>
        <v>490.28153531782971</v>
      </c>
      <c r="P10" s="676">
        <f>tertiair!O16</f>
        <v>1.5633333333333335</v>
      </c>
      <c r="Q10" s="677">
        <f>tertiair!P16</f>
        <v>19.066666666666666</v>
      </c>
      <c r="R10" s="679">
        <f ca="1">SUM(C10:Q10)</f>
        <v>36947.191474965883</v>
      </c>
      <c r="S10" s="67"/>
    </row>
    <row r="11" spans="1:19" s="445" customFormat="1">
      <c r="A11" s="791" t="s">
        <v>220</v>
      </c>
      <c r="B11" s="796"/>
      <c r="C11" s="676">
        <f>huishoudens!B8</f>
        <v>32505.708129437186</v>
      </c>
      <c r="D11" s="676">
        <f>huishoudens!C8</f>
        <v>0</v>
      </c>
      <c r="E11" s="676">
        <f>huishoudens!D8</f>
        <v>40725.538049926487</v>
      </c>
      <c r="F11" s="676">
        <f>huishoudens!E8</f>
        <v>1794.0128364980937</v>
      </c>
      <c r="G11" s="676">
        <f>huishoudens!F8</f>
        <v>61237.54394692534</v>
      </c>
      <c r="H11" s="676">
        <f>huishoudens!G8</f>
        <v>0</v>
      </c>
      <c r="I11" s="676">
        <f>huishoudens!H8</f>
        <v>0</v>
      </c>
      <c r="J11" s="676">
        <f>huishoudens!I8</f>
        <v>0</v>
      </c>
      <c r="K11" s="676">
        <f>huishoudens!J8</f>
        <v>1378.9142349244726</v>
      </c>
      <c r="L11" s="676">
        <f>huishoudens!K8</f>
        <v>0</v>
      </c>
      <c r="M11" s="676">
        <f>huishoudens!L8</f>
        <v>0</v>
      </c>
      <c r="N11" s="676">
        <f>huishoudens!M8</f>
        <v>0</v>
      </c>
      <c r="O11" s="676">
        <f>huishoudens!N8</f>
        <v>8169.5301003772483</v>
      </c>
      <c r="P11" s="676">
        <f>huishoudens!O8</f>
        <v>79.73</v>
      </c>
      <c r="Q11" s="677">
        <f>huishoudens!P8</f>
        <v>457.6</v>
      </c>
      <c r="R11" s="679">
        <f>SUM(C11:Q11)</f>
        <v>146348.57729808884</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3729.1806113890207</v>
      </c>
      <c r="D13" s="676">
        <f>industrie!C18</f>
        <v>0</v>
      </c>
      <c r="E13" s="676">
        <f>industrie!D18</f>
        <v>2333.9974413883883</v>
      </c>
      <c r="F13" s="676">
        <f>industrie!E18</f>
        <v>51.934807500571367</v>
      </c>
      <c r="G13" s="676">
        <f>industrie!F18</f>
        <v>1189.0826111918116</v>
      </c>
      <c r="H13" s="676">
        <f>industrie!G18</f>
        <v>0</v>
      </c>
      <c r="I13" s="676">
        <f>industrie!H18</f>
        <v>0</v>
      </c>
      <c r="J13" s="676">
        <f>industrie!I18</f>
        <v>0</v>
      </c>
      <c r="K13" s="676">
        <f>industrie!J18</f>
        <v>14.45302373116778</v>
      </c>
      <c r="L13" s="676">
        <f>industrie!K18</f>
        <v>0</v>
      </c>
      <c r="M13" s="676">
        <f>industrie!L18</f>
        <v>0</v>
      </c>
      <c r="N13" s="676">
        <f>industrie!M18</f>
        <v>0</v>
      </c>
      <c r="O13" s="676">
        <f>industrie!N18</f>
        <v>99.475689117796449</v>
      </c>
      <c r="P13" s="676">
        <f>industrie!O18</f>
        <v>0</v>
      </c>
      <c r="Q13" s="677">
        <f>industrie!P18</f>
        <v>0</v>
      </c>
      <c r="R13" s="679">
        <f>SUM(C13:Q13)</f>
        <v>7418.1241843187554</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52465.756369809671</v>
      </c>
      <c r="D16" s="709">
        <f t="shared" ref="D16:R16" ca="1" si="0">SUM(D9:D15)</f>
        <v>0</v>
      </c>
      <c r="E16" s="709">
        <f t="shared" ca="1" si="0"/>
        <v>60208.062984201795</v>
      </c>
      <c r="F16" s="709">
        <f t="shared" si="0"/>
        <v>2174.4000493727181</v>
      </c>
      <c r="G16" s="709">
        <f t="shared" ca="1" si="0"/>
        <v>65155.058970520768</v>
      </c>
      <c r="H16" s="709">
        <f t="shared" si="0"/>
        <v>0</v>
      </c>
      <c r="I16" s="709">
        <f t="shared" si="0"/>
        <v>0</v>
      </c>
      <c r="J16" s="709">
        <f t="shared" si="0"/>
        <v>0</v>
      </c>
      <c r="K16" s="709">
        <f t="shared" si="0"/>
        <v>1393.3672586556404</v>
      </c>
      <c r="L16" s="709">
        <f t="shared" si="0"/>
        <v>0</v>
      </c>
      <c r="M16" s="709">
        <f t="shared" ca="1" si="0"/>
        <v>0</v>
      </c>
      <c r="N16" s="709">
        <f t="shared" si="0"/>
        <v>0</v>
      </c>
      <c r="O16" s="709">
        <f t="shared" ca="1" si="0"/>
        <v>8759.2873248128744</v>
      </c>
      <c r="P16" s="709">
        <f t="shared" si="0"/>
        <v>81.293333333333337</v>
      </c>
      <c r="Q16" s="709">
        <f t="shared" si="0"/>
        <v>476.66666666666669</v>
      </c>
      <c r="R16" s="709">
        <f t="shared" ca="1" si="0"/>
        <v>190713.89295737349</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7.6656315510975208</v>
      </c>
      <c r="D19" s="676">
        <f>transport!C54</f>
        <v>0</v>
      </c>
      <c r="E19" s="676">
        <f>transport!D54</f>
        <v>0</v>
      </c>
      <c r="F19" s="676">
        <f>transport!E54</f>
        <v>0</v>
      </c>
      <c r="G19" s="676">
        <f>transport!F54</f>
        <v>0</v>
      </c>
      <c r="H19" s="676">
        <f>transport!G54</f>
        <v>1662.9818031556381</v>
      </c>
      <c r="I19" s="676">
        <f>transport!H54</f>
        <v>0</v>
      </c>
      <c r="J19" s="676">
        <f>transport!I54</f>
        <v>0</v>
      </c>
      <c r="K19" s="676">
        <f>transport!J54</f>
        <v>0</v>
      </c>
      <c r="L19" s="676">
        <f>transport!K54</f>
        <v>0</v>
      </c>
      <c r="M19" s="676">
        <f>transport!L54</f>
        <v>0</v>
      </c>
      <c r="N19" s="676">
        <f>transport!M54</f>
        <v>71.202492883889931</v>
      </c>
      <c r="O19" s="676">
        <f>transport!N54</f>
        <v>0</v>
      </c>
      <c r="P19" s="676">
        <f>transport!O54</f>
        <v>0</v>
      </c>
      <c r="Q19" s="677">
        <f>transport!P54</f>
        <v>0</v>
      </c>
      <c r="R19" s="679">
        <f>SUM(C19:Q19)</f>
        <v>1741.8499275906256</v>
      </c>
      <c r="S19" s="67"/>
    </row>
    <row r="20" spans="1:19" s="445" customFormat="1">
      <c r="A20" s="791" t="s">
        <v>302</v>
      </c>
      <c r="B20" s="796"/>
      <c r="C20" s="676">
        <f>transport!B14</f>
        <v>0.90547777495655424</v>
      </c>
      <c r="D20" s="676">
        <f>transport!C14</f>
        <v>0</v>
      </c>
      <c r="E20" s="676">
        <f>transport!D14</f>
        <v>4.0337007402552114</v>
      </c>
      <c r="F20" s="676">
        <f>transport!E14</f>
        <v>403.01394860722638</v>
      </c>
      <c r="G20" s="676">
        <f>transport!F14</f>
        <v>0</v>
      </c>
      <c r="H20" s="676">
        <f>transport!G14</f>
        <v>60531.729734772271</v>
      </c>
      <c r="I20" s="676">
        <f>transport!H14</f>
        <v>12896.652736427184</v>
      </c>
      <c r="J20" s="676">
        <f>transport!I14</f>
        <v>0</v>
      </c>
      <c r="K20" s="676">
        <f>transport!J14</f>
        <v>0</v>
      </c>
      <c r="L20" s="676">
        <f>transport!K14</f>
        <v>0</v>
      </c>
      <c r="M20" s="676">
        <f>transport!L14</f>
        <v>0</v>
      </c>
      <c r="N20" s="676">
        <f>transport!M14</f>
        <v>3201.2264492387349</v>
      </c>
      <c r="O20" s="676">
        <f>transport!N14</f>
        <v>0</v>
      </c>
      <c r="P20" s="676">
        <f>transport!O14</f>
        <v>0</v>
      </c>
      <c r="Q20" s="677">
        <f>transport!P14</f>
        <v>0</v>
      </c>
      <c r="R20" s="679">
        <f>SUM(C20:Q20)</f>
        <v>77037.562047560627</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8.5711093260540743</v>
      </c>
      <c r="D22" s="794">
        <f t="shared" ref="D22:R22" si="1">SUM(D18:D21)</f>
        <v>0</v>
      </c>
      <c r="E22" s="794">
        <f t="shared" si="1"/>
        <v>4.0337007402552114</v>
      </c>
      <c r="F22" s="794">
        <f t="shared" si="1"/>
        <v>403.01394860722638</v>
      </c>
      <c r="G22" s="794">
        <f t="shared" si="1"/>
        <v>0</v>
      </c>
      <c r="H22" s="794">
        <f t="shared" si="1"/>
        <v>62194.711537927906</v>
      </c>
      <c r="I22" s="794">
        <f t="shared" si="1"/>
        <v>12896.652736427184</v>
      </c>
      <c r="J22" s="794">
        <f t="shared" si="1"/>
        <v>0</v>
      </c>
      <c r="K22" s="794">
        <f t="shared" si="1"/>
        <v>0</v>
      </c>
      <c r="L22" s="794">
        <f t="shared" si="1"/>
        <v>0</v>
      </c>
      <c r="M22" s="794">
        <f t="shared" si="1"/>
        <v>0</v>
      </c>
      <c r="N22" s="794">
        <f t="shared" si="1"/>
        <v>3272.4289421226249</v>
      </c>
      <c r="O22" s="794">
        <f t="shared" si="1"/>
        <v>0</v>
      </c>
      <c r="P22" s="794">
        <f t="shared" si="1"/>
        <v>0</v>
      </c>
      <c r="Q22" s="794">
        <f t="shared" si="1"/>
        <v>0</v>
      </c>
      <c r="R22" s="794">
        <f t="shared" si="1"/>
        <v>78779.411975151248</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2795.7055088050138</v>
      </c>
      <c r="D24" s="676">
        <f>+landbouw!C8</f>
        <v>0</v>
      </c>
      <c r="E24" s="676">
        <f>+landbouw!D8</f>
        <v>194.46584568632915</v>
      </c>
      <c r="F24" s="676">
        <f>+landbouw!E8</f>
        <v>29.27723333376699</v>
      </c>
      <c r="G24" s="676">
        <f>+landbouw!F8</f>
        <v>11967.743862717973</v>
      </c>
      <c r="H24" s="676">
        <f>+landbouw!G8</f>
        <v>0</v>
      </c>
      <c r="I24" s="676">
        <f>+landbouw!H8</f>
        <v>0</v>
      </c>
      <c r="J24" s="676">
        <f>+landbouw!I8</f>
        <v>0</v>
      </c>
      <c r="K24" s="676">
        <f>+landbouw!J8</f>
        <v>249.68156027224984</v>
      </c>
      <c r="L24" s="676">
        <f>+landbouw!K8</f>
        <v>0</v>
      </c>
      <c r="M24" s="676">
        <f>+landbouw!L8</f>
        <v>0</v>
      </c>
      <c r="N24" s="676">
        <f>+landbouw!M8</f>
        <v>0</v>
      </c>
      <c r="O24" s="676">
        <f>+landbouw!N8</f>
        <v>0</v>
      </c>
      <c r="P24" s="676">
        <f>+landbouw!O8</f>
        <v>0</v>
      </c>
      <c r="Q24" s="677">
        <f>+landbouw!P8</f>
        <v>0</v>
      </c>
      <c r="R24" s="679">
        <f>SUM(C24:Q24)</f>
        <v>15236.874010815332</v>
      </c>
      <c r="S24" s="67"/>
    </row>
    <row r="25" spans="1:19" s="445" customFormat="1" ht="15" thickBot="1">
      <c r="A25" s="813" t="s">
        <v>895</v>
      </c>
      <c r="B25" s="968"/>
      <c r="C25" s="969">
        <f>IF(Onbekend_ele_kWh="---",0,Onbekend_ele_kWh)/1000+IF(REST_rest_ele_kWh="---",0,REST_rest_ele_kWh)/1000</f>
        <v>1855.9701028566201</v>
      </c>
      <c r="D25" s="969"/>
      <c r="E25" s="969">
        <f>IF(onbekend_gas_kWh="---",0,onbekend_gas_kWh)/1000+IF(REST_rest_gas_kWh="---",0,REST_rest_gas_kWh)/1000</f>
        <v>2104.6033446653</v>
      </c>
      <c r="F25" s="969"/>
      <c r="G25" s="969"/>
      <c r="H25" s="969"/>
      <c r="I25" s="969"/>
      <c r="J25" s="969"/>
      <c r="K25" s="969"/>
      <c r="L25" s="969"/>
      <c r="M25" s="969"/>
      <c r="N25" s="969"/>
      <c r="O25" s="969"/>
      <c r="P25" s="969"/>
      <c r="Q25" s="970"/>
      <c r="R25" s="679">
        <f>SUM(C25:Q25)</f>
        <v>3960.5734475219201</v>
      </c>
      <c r="S25" s="67"/>
    </row>
    <row r="26" spans="1:19" s="445" customFormat="1" ht="15.75" thickBot="1">
      <c r="A26" s="682" t="s">
        <v>896</v>
      </c>
      <c r="B26" s="799"/>
      <c r="C26" s="794">
        <f>SUM(C24:C25)</f>
        <v>4651.6756116616343</v>
      </c>
      <c r="D26" s="794">
        <f t="shared" ref="D26:R26" si="2">SUM(D24:D25)</f>
        <v>0</v>
      </c>
      <c r="E26" s="794">
        <f t="shared" si="2"/>
        <v>2299.069190351629</v>
      </c>
      <c r="F26" s="794">
        <f t="shared" si="2"/>
        <v>29.27723333376699</v>
      </c>
      <c r="G26" s="794">
        <f t="shared" si="2"/>
        <v>11967.743862717973</v>
      </c>
      <c r="H26" s="794">
        <f t="shared" si="2"/>
        <v>0</v>
      </c>
      <c r="I26" s="794">
        <f t="shared" si="2"/>
        <v>0</v>
      </c>
      <c r="J26" s="794">
        <f t="shared" si="2"/>
        <v>0</v>
      </c>
      <c r="K26" s="794">
        <f t="shared" si="2"/>
        <v>249.68156027224984</v>
      </c>
      <c r="L26" s="794">
        <f t="shared" si="2"/>
        <v>0</v>
      </c>
      <c r="M26" s="794">
        <f t="shared" si="2"/>
        <v>0</v>
      </c>
      <c r="N26" s="794">
        <f t="shared" si="2"/>
        <v>0</v>
      </c>
      <c r="O26" s="794">
        <f t="shared" si="2"/>
        <v>0</v>
      </c>
      <c r="P26" s="794">
        <f t="shared" si="2"/>
        <v>0</v>
      </c>
      <c r="Q26" s="794">
        <f t="shared" si="2"/>
        <v>0</v>
      </c>
      <c r="R26" s="794">
        <f t="shared" si="2"/>
        <v>19197.447458337254</v>
      </c>
      <c r="S26" s="67"/>
    </row>
    <row r="27" spans="1:19" s="445" customFormat="1" ht="17.25" thickTop="1" thickBot="1">
      <c r="A27" s="683" t="s">
        <v>115</v>
      </c>
      <c r="B27" s="786"/>
      <c r="C27" s="684">
        <f ca="1">C22+C16+C26</f>
        <v>57126.003090797356</v>
      </c>
      <c r="D27" s="684">
        <f t="shared" ref="D27:R27" ca="1" si="3">D22+D16+D26</f>
        <v>0</v>
      </c>
      <c r="E27" s="684">
        <f t="shared" ca="1" si="3"/>
        <v>62511.165875293678</v>
      </c>
      <c r="F27" s="684">
        <f t="shared" si="3"/>
        <v>2606.6912313137113</v>
      </c>
      <c r="G27" s="684">
        <f t="shared" ca="1" si="3"/>
        <v>77122.802833238733</v>
      </c>
      <c r="H27" s="684">
        <f t="shared" si="3"/>
        <v>62194.711537927906</v>
      </c>
      <c r="I27" s="684">
        <f t="shared" si="3"/>
        <v>12896.652736427184</v>
      </c>
      <c r="J27" s="684">
        <f t="shared" si="3"/>
        <v>0</v>
      </c>
      <c r="K27" s="684">
        <f t="shared" si="3"/>
        <v>1643.0488189278904</v>
      </c>
      <c r="L27" s="684">
        <f t="shared" si="3"/>
        <v>0</v>
      </c>
      <c r="M27" s="684">
        <f t="shared" ca="1" si="3"/>
        <v>0</v>
      </c>
      <c r="N27" s="684">
        <f t="shared" si="3"/>
        <v>3272.4289421226249</v>
      </c>
      <c r="O27" s="684">
        <f t="shared" ca="1" si="3"/>
        <v>8759.2873248128744</v>
      </c>
      <c r="P27" s="684">
        <f t="shared" si="3"/>
        <v>81.293333333333337</v>
      </c>
      <c r="Q27" s="684">
        <f t="shared" si="3"/>
        <v>476.66666666666669</v>
      </c>
      <c r="R27" s="684">
        <f t="shared" ca="1" si="3"/>
        <v>288690.75239086198</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3482.4186541862459</v>
      </c>
      <c r="D40" s="676">
        <f ca="1">tertiair!C20</f>
        <v>0</v>
      </c>
      <c r="E40" s="676">
        <f ca="1">tertiair!D20</f>
        <v>3464.0025535631576</v>
      </c>
      <c r="F40" s="676">
        <f>tertiair!E20</f>
        <v>74.55869601991003</v>
      </c>
      <c r="G40" s="676">
        <f ca="1">tertiair!F20</f>
        <v>728.49145411176517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7749.4713578810779</v>
      </c>
    </row>
    <row r="41" spans="1:18">
      <c r="A41" s="804" t="s">
        <v>220</v>
      </c>
      <c r="B41" s="811"/>
      <c r="C41" s="676">
        <f ca="1">huishoudens!B12</f>
        <v>6974.2719209506067</v>
      </c>
      <c r="D41" s="676">
        <f ca="1">huishoudens!C12</f>
        <v>0</v>
      </c>
      <c r="E41" s="676">
        <f>huishoudens!D12</f>
        <v>8226.5586860851508</v>
      </c>
      <c r="F41" s="676">
        <f>huishoudens!E12</f>
        <v>407.2409138850673</v>
      </c>
      <c r="G41" s="676">
        <f>huishoudens!F12</f>
        <v>16350.424233829066</v>
      </c>
      <c r="H41" s="676">
        <f>huishoudens!G12</f>
        <v>0</v>
      </c>
      <c r="I41" s="676">
        <f>huishoudens!H12</f>
        <v>0</v>
      </c>
      <c r="J41" s="676">
        <f>huishoudens!I12</f>
        <v>0</v>
      </c>
      <c r="K41" s="676">
        <f>huishoudens!J12</f>
        <v>488.13563916326325</v>
      </c>
      <c r="L41" s="676">
        <f>huishoudens!K12</f>
        <v>0</v>
      </c>
      <c r="M41" s="676">
        <f>huishoudens!L12</f>
        <v>0</v>
      </c>
      <c r="N41" s="676">
        <f>huishoudens!M12</f>
        <v>0</v>
      </c>
      <c r="O41" s="676">
        <f>huishoudens!N12</f>
        <v>0</v>
      </c>
      <c r="P41" s="676">
        <f>huishoudens!O12</f>
        <v>0</v>
      </c>
      <c r="Q41" s="751">
        <f>huishoudens!P12</f>
        <v>0</v>
      </c>
      <c r="R41" s="832">
        <f t="shared" ca="1" si="4"/>
        <v>32446.631393913154</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800.11546041695726</v>
      </c>
      <c r="D43" s="676">
        <f ca="1">industrie!C22</f>
        <v>0</v>
      </c>
      <c r="E43" s="676">
        <f>industrie!D22</f>
        <v>471.46748316045449</v>
      </c>
      <c r="F43" s="676">
        <f>industrie!E22</f>
        <v>11.789201302629701</v>
      </c>
      <c r="G43" s="676">
        <f>industrie!F22</f>
        <v>317.48505718821372</v>
      </c>
      <c r="H43" s="676">
        <f>industrie!G22</f>
        <v>0</v>
      </c>
      <c r="I43" s="676">
        <f>industrie!H22</f>
        <v>0</v>
      </c>
      <c r="J43" s="676">
        <f>industrie!I22</f>
        <v>0</v>
      </c>
      <c r="K43" s="676">
        <f>industrie!J22</f>
        <v>5.1163704008333939</v>
      </c>
      <c r="L43" s="676">
        <f>industrie!K22</f>
        <v>0</v>
      </c>
      <c r="M43" s="676">
        <f>industrie!L22</f>
        <v>0</v>
      </c>
      <c r="N43" s="676">
        <f>industrie!M22</f>
        <v>0</v>
      </c>
      <c r="O43" s="676">
        <f>industrie!N22</f>
        <v>0</v>
      </c>
      <c r="P43" s="676">
        <f>industrie!O22</f>
        <v>0</v>
      </c>
      <c r="Q43" s="751">
        <f>industrie!P22</f>
        <v>0</v>
      </c>
      <c r="R43" s="831">
        <f t="shared" ca="1" si="4"/>
        <v>1605.9735724690884</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11256.806035553809</v>
      </c>
      <c r="D46" s="709">
        <f t="shared" ref="D46:Q46" ca="1" si="5">SUM(D39:D45)</f>
        <v>0</v>
      </c>
      <c r="E46" s="709">
        <f t="shared" ca="1" si="5"/>
        <v>12162.028722808764</v>
      </c>
      <c r="F46" s="709">
        <f t="shared" si="5"/>
        <v>493.58881120760702</v>
      </c>
      <c r="G46" s="709">
        <f t="shared" ca="1" si="5"/>
        <v>17396.400745129045</v>
      </c>
      <c r="H46" s="709">
        <f t="shared" si="5"/>
        <v>0</v>
      </c>
      <c r="I46" s="709">
        <f t="shared" si="5"/>
        <v>0</v>
      </c>
      <c r="J46" s="709">
        <f t="shared" si="5"/>
        <v>0</v>
      </c>
      <c r="K46" s="709">
        <f t="shared" si="5"/>
        <v>493.25200956409662</v>
      </c>
      <c r="L46" s="709">
        <f t="shared" si="5"/>
        <v>0</v>
      </c>
      <c r="M46" s="709">
        <f t="shared" ca="1" si="5"/>
        <v>0</v>
      </c>
      <c r="N46" s="709">
        <f t="shared" si="5"/>
        <v>0</v>
      </c>
      <c r="O46" s="709">
        <f t="shared" ca="1" si="5"/>
        <v>0</v>
      </c>
      <c r="P46" s="709">
        <f t="shared" si="5"/>
        <v>0</v>
      </c>
      <c r="Q46" s="709">
        <f t="shared" si="5"/>
        <v>0</v>
      </c>
      <c r="R46" s="709">
        <f ca="1">SUM(R39:R45)</f>
        <v>41802.076324263326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1.6447018680622771</v>
      </c>
      <c r="D49" s="676">
        <f ca="1">transport!C58</f>
        <v>0</v>
      </c>
      <c r="E49" s="676">
        <f>transport!D58</f>
        <v>0</v>
      </c>
      <c r="F49" s="676">
        <f>transport!E58</f>
        <v>0</v>
      </c>
      <c r="G49" s="676">
        <f>transport!F58</f>
        <v>0</v>
      </c>
      <c r="H49" s="676">
        <f>transport!G58</f>
        <v>444.01614144255541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445.66084331061768</v>
      </c>
    </row>
    <row r="50" spans="1:18">
      <c r="A50" s="807" t="s">
        <v>302</v>
      </c>
      <c r="B50" s="817"/>
      <c r="C50" s="975">
        <f ca="1">transport!B18</f>
        <v>0.19427505457742722</v>
      </c>
      <c r="D50" s="975">
        <f>transport!C18</f>
        <v>0</v>
      </c>
      <c r="E50" s="975">
        <f>transport!D18</f>
        <v>0.81480754953155277</v>
      </c>
      <c r="F50" s="975">
        <f>transport!E18</f>
        <v>91.484166333840392</v>
      </c>
      <c r="G50" s="975">
        <f>transport!F18</f>
        <v>0</v>
      </c>
      <c r="H50" s="975">
        <f>transport!G18</f>
        <v>16161.971839184198</v>
      </c>
      <c r="I50" s="975">
        <f>transport!H18</f>
        <v>3211.2665313703687</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19465.731619492515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1.8389769226397044</v>
      </c>
      <c r="D52" s="709">
        <f t="shared" ref="D52:Q52" ca="1" si="6">SUM(D48:D51)</f>
        <v>0</v>
      </c>
      <c r="E52" s="709">
        <f t="shared" si="6"/>
        <v>0.81480754953155277</v>
      </c>
      <c r="F52" s="709">
        <f t="shared" si="6"/>
        <v>91.484166333840392</v>
      </c>
      <c r="G52" s="709">
        <f t="shared" si="6"/>
        <v>0</v>
      </c>
      <c r="H52" s="709">
        <f t="shared" si="6"/>
        <v>16605.987980626753</v>
      </c>
      <c r="I52" s="709">
        <f t="shared" si="6"/>
        <v>3211.2665313703687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19911.392462803135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599.83343084436081</v>
      </c>
      <c r="D54" s="975">
        <f ca="1">+landbouw!C12</f>
        <v>0</v>
      </c>
      <c r="E54" s="975">
        <f>+landbouw!D12</f>
        <v>39.282100828638491</v>
      </c>
      <c r="F54" s="975">
        <f>+landbouw!E12</f>
        <v>6.6459319667651071</v>
      </c>
      <c r="G54" s="975">
        <f>+landbouw!F12</f>
        <v>3195.387611345699</v>
      </c>
      <c r="H54" s="975">
        <f>+landbouw!G12</f>
        <v>0</v>
      </c>
      <c r="I54" s="975">
        <f>+landbouw!H12</f>
        <v>0</v>
      </c>
      <c r="J54" s="975">
        <f>+landbouw!I12</f>
        <v>0</v>
      </c>
      <c r="K54" s="975">
        <f>+landbouw!J12</f>
        <v>88.387272336376441</v>
      </c>
      <c r="L54" s="975">
        <f>+landbouw!K12</f>
        <v>0</v>
      </c>
      <c r="M54" s="975">
        <f>+landbouw!L12</f>
        <v>0</v>
      </c>
      <c r="N54" s="975">
        <f>+landbouw!M12</f>
        <v>0</v>
      </c>
      <c r="O54" s="975">
        <f>+landbouw!N12</f>
        <v>0</v>
      </c>
      <c r="P54" s="975">
        <f>+landbouw!O12</f>
        <v>0</v>
      </c>
      <c r="Q54" s="976">
        <f>+landbouw!P12</f>
        <v>0</v>
      </c>
      <c r="R54" s="708">
        <f ca="1">SUM(C54:Q54)</f>
        <v>3929.5363473218399</v>
      </c>
    </row>
    <row r="55" spans="1:18" ht="15" thickBot="1">
      <c r="A55" s="807" t="s">
        <v>895</v>
      </c>
      <c r="B55" s="817"/>
      <c r="C55" s="975">
        <f ca="1">C25*'EF ele_warmte'!B12</f>
        <v>398.20822001273694</v>
      </c>
      <c r="D55" s="975"/>
      <c r="E55" s="975">
        <f>E25*EF_CO2_aardgas</f>
        <v>425.12987562239061</v>
      </c>
      <c r="F55" s="975"/>
      <c r="G55" s="975"/>
      <c r="H55" s="975"/>
      <c r="I55" s="975"/>
      <c r="J55" s="975"/>
      <c r="K55" s="975"/>
      <c r="L55" s="975"/>
      <c r="M55" s="975"/>
      <c r="N55" s="975"/>
      <c r="O55" s="975"/>
      <c r="P55" s="975"/>
      <c r="Q55" s="976"/>
      <c r="R55" s="708">
        <f ca="1">SUM(C55:Q55)</f>
        <v>823.3380956351275</v>
      </c>
    </row>
    <row r="56" spans="1:18" ht="15.75" thickBot="1">
      <c r="A56" s="805" t="s">
        <v>896</v>
      </c>
      <c r="B56" s="818"/>
      <c r="C56" s="709">
        <f ca="1">SUM(C54:C55)</f>
        <v>998.04165085709769</v>
      </c>
      <c r="D56" s="709">
        <f t="shared" ref="D56:Q56" ca="1" si="7">SUM(D54:D55)</f>
        <v>0</v>
      </c>
      <c r="E56" s="709">
        <f t="shared" si="7"/>
        <v>464.41197645102909</v>
      </c>
      <c r="F56" s="709">
        <f t="shared" si="7"/>
        <v>6.6459319667651071</v>
      </c>
      <c r="G56" s="709">
        <f t="shared" si="7"/>
        <v>3195.387611345699</v>
      </c>
      <c r="H56" s="709">
        <f t="shared" si="7"/>
        <v>0</v>
      </c>
      <c r="I56" s="709">
        <f t="shared" si="7"/>
        <v>0</v>
      </c>
      <c r="J56" s="709">
        <f t="shared" si="7"/>
        <v>0</v>
      </c>
      <c r="K56" s="709">
        <f t="shared" si="7"/>
        <v>88.387272336376441</v>
      </c>
      <c r="L56" s="709">
        <f t="shared" si="7"/>
        <v>0</v>
      </c>
      <c r="M56" s="709">
        <f t="shared" si="7"/>
        <v>0</v>
      </c>
      <c r="N56" s="709">
        <f t="shared" si="7"/>
        <v>0</v>
      </c>
      <c r="O56" s="709">
        <f t="shared" si="7"/>
        <v>0</v>
      </c>
      <c r="P56" s="709">
        <f t="shared" si="7"/>
        <v>0</v>
      </c>
      <c r="Q56" s="710">
        <f t="shared" si="7"/>
        <v>0</v>
      </c>
      <c r="R56" s="711">
        <f ca="1">SUM(R54:R55)</f>
        <v>4752.874442956967</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12256.686663333547</v>
      </c>
      <c r="D61" s="717">
        <f t="shared" ref="D61:Q61" ca="1" si="8">D46+D52+D56</f>
        <v>0</v>
      </c>
      <c r="E61" s="717">
        <f t="shared" ca="1" si="8"/>
        <v>12627.255506809324</v>
      </c>
      <c r="F61" s="717">
        <f t="shared" si="8"/>
        <v>591.71890950821262</v>
      </c>
      <c r="G61" s="717">
        <f t="shared" ca="1" si="8"/>
        <v>20591.788356474746</v>
      </c>
      <c r="H61" s="717">
        <f t="shared" si="8"/>
        <v>16605.987980626753</v>
      </c>
      <c r="I61" s="717">
        <f t="shared" si="8"/>
        <v>3211.2665313703687</v>
      </c>
      <c r="J61" s="717">
        <f t="shared" si="8"/>
        <v>0</v>
      </c>
      <c r="K61" s="717">
        <f t="shared" si="8"/>
        <v>581.63928190047307</v>
      </c>
      <c r="L61" s="717">
        <f t="shared" si="8"/>
        <v>0</v>
      </c>
      <c r="M61" s="717">
        <f t="shared" ca="1" si="8"/>
        <v>0</v>
      </c>
      <c r="N61" s="717">
        <f t="shared" si="8"/>
        <v>0</v>
      </c>
      <c r="O61" s="717">
        <f t="shared" ca="1" si="8"/>
        <v>0</v>
      </c>
      <c r="P61" s="717">
        <f t="shared" si="8"/>
        <v>0</v>
      </c>
      <c r="Q61" s="717">
        <f t="shared" si="8"/>
        <v>0</v>
      </c>
      <c r="R61" s="717">
        <f ca="1">R46+R52+R56</f>
        <v>66466.343230023427</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0.21455529881641627</v>
      </c>
      <c r="D63" s="761">
        <f t="shared" ca="1" si="9"/>
        <v>0</v>
      </c>
      <c r="E63" s="977">
        <f t="shared" ca="1" si="9"/>
        <v>0.20200000000000001</v>
      </c>
      <c r="F63" s="761">
        <f t="shared" si="9"/>
        <v>0.22700000000000006</v>
      </c>
      <c r="G63" s="761">
        <f t="shared" ca="1" si="9"/>
        <v>0.26700000000000007</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1665.8824422292732</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1665.8824422292732</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32505.708129437186</v>
      </c>
      <c r="C4" s="449">
        <f>huishoudens!C8</f>
        <v>0</v>
      </c>
      <c r="D4" s="449">
        <f>huishoudens!D8</f>
        <v>40725.538049926487</v>
      </c>
      <c r="E4" s="449">
        <f>huishoudens!E8</f>
        <v>1794.0128364980937</v>
      </c>
      <c r="F4" s="449">
        <f>huishoudens!F8</f>
        <v>61237.54394692534</v>
      </c>
      <c r="G4" s="449">
        <f>huishoudens!G8</f>
        <v>0</v>
      </c>
      <c r="H4" s="449">
        <f>huishoudens!H8</f>
        <v>0</v>
      </c>
      <c r="I4" s="449">
        <f>huishoudens!I8</f>
        <v>0</v>
      </c>
      <c r="J4" s="449">
        <f>huishoudens!J8</f>
        <v>1378.9142349244726</v>
      </c>
      <c r="K4" s="449">
        <f>huishoudens!K8</f>
        <v>0</v>
      </c>
      <c r="L4" s="449">
        <f>huishoudens!L8</f>
        <v>0</v>
      </c>
      <c r="M4" s="449">
        <f>huishoudens!M8</f>
        <v>0</v>
      </c>
      <c r="N4" s="449">
        <f>huishoudens!N8</f>
        <v>8169.5301003772483</v>
      </c>
      <c r="O4" s="449">
        <f>huishoudens!O8</f>
        <v>79.73</v>
      </c>
      <c r="P4" s="450">
        <f>huishoudens!P8</f>
        <v>457.6</v>
      </c>
      <c r="Q4" s="451">
        <f>SUM(B4:P4)</f>
        <v>146348.57729808884</v>
      </c>
    </row>
    <row r="5" spans="1:17">
      <c r="A5" s="448" t="s">
        <v>155</v>
      </c>
      <c r="B5" s="449">
        <f ca="1">tertiair!B16</f>
        <v>15303.621628983468</v>
      </c>
      <c r="C5" s="449">
        <f ca="1">tertiair!C16</f>
        <v>0</v>
      </c>
      <c r="D5" s="449">
        <f ca="1">tertiair!D16</f>
        <v>17148.527492886918</v>
      </c>
      <c r="E5" s="449">
        <f>tertiair!E16</f>
        <v>328.452405374053</v>
      </c>
      <c r="F5" s="449">
        <f ca="1">tertiair!F16</f>
        <v>2728.4324124036148</v>
      </c>
      <c r="G5" s="449">
        <f>tertiair!G16</f>
        <v>0</v>
      </c>
      <c r="H5" s="449">
        <f>tertiair!H16</f>
        <v>0</v>
      </c>
      <c r="I5" s="449">
        <f>tertiair!I16</f>
        <v>0</v>
      </c>
      <c r="J5" s="449">
        <f>tertiair!J16</f>
        <v>0</v>
      </c>
      <c r="K5" s="449">
        <f>tertiair!K16</f>
        <v>0</v>
      </c>
      <c r="L5" s="449">
        <f ca="1">tertiair!L16</f>
        <v>0</v>
      </c>
      <c r="M5" s="449">
        <f>tertiair!M16</f>
        <v>0</v>
      </c>
      <c r="N5" s="449">
        <f ca="1">tertiair!N16</f>
        <v>490.28153531782971</v>
      </c>
      <c r="O5" s="449">
        <f>tertiair!O16</f>
        <v>1.5633333333333335</v>
      </c>
      <c r="P5" s="450">
        <f>tertiair!P16</f>
        <v>19.066666666666666</v>
      </c>
      <c r="Q5" s="448">
        <f t="shared" ref="Q5:Q14" ca="1" si="0">SUM(B5:P5)</f>
        <v>36019.945474965883</v>
      </c>
    </row>
    <row r="6" spans="1:17">
      <c r="A6" s="448" t="s">
        <v>193</v>
      </c>
      <c r="B6" s="449">
        <f>'openbare verlichting'!B8</f>
        <v>927.24599999999998</v>
      </c>
      <c r="C6" s="449"/>
      <c r="D6" s="449"/>
      <c r="E6" s="449"/>
      <c r="F6" s="449"/>
      <c r="G6" s="449"/>
      <c r="H6" s="449"/>
      <c r="I6" s="449"/>
      <c r="J6" s="449"/>
      <c r="K6" s="449"/>
      <c r="L6" s="449"/>
      <c r="M6" s="449"/>
      <c r="N6" s="449"/>
      <c r="O6" s="449"/>
      <c r="P6" s="450"/>
      <c r="Q6" s="448">
        <f t="shared" si="0"/>
        <v>927.24599999999998</v>
      </c>
    </row>
    <row r="7" spans="1:17">
      <c r="A7" s="448" t="s">
        <v>111</v>
      </c>
      <c r="B7" s="449">
        <f>landbouw!B8</f>
        <v>2795.7055088050138</v>
      </c>
      <c r="C7" s="449">
        <f>landbouw!C8</f>
        <v>0</v>
      </c>
      <c r="D7" s="449">
        <f>landbouw!D8</f>
        <v>194.46584568632915</v>
      </c>
      <c r="E7" s="449">
        <f>landbouw!E8</f>
        <v>29.27723333376699</v>
      </c>
      <c r="F7" s="449">
        <f>landbouw!F8</f>
        <v>11967.743862717973</v>
      </c>
      <c r="G7" s="449">
        <f>landbouw!G8</f>
        <v>0</v>
      </c>
      <c r="H7" s="449">
        <f>landbouw!H8</f>
        <v>0</v>
      </c>
      <c r="I7" s="449">
        <f>landbouw!I8</f>
        <v>0</v>
      </c>
      <c r="J7" s="449">
        <f>landbouw!J8</f>
        <v>249.68156027224984</v>
      </c>
      <c r="K7" s="449">
        <f>landbouw!K8</f>
        <v>0</v>
      </c>
      <c r="L7" s="449">
        <f>landbouw!L8</f>
        <v>0</v>
      </c>
      <c r="M7" s="449">
        <f>landbouw!M8</f>
        <v>0</v>
      </c>
      <c r="N7" s="449">
        <f>landbouw!N8</f>
        <v>0</v>
      </c>
      <c r="O7" s="449">
        <f>landbouw!O8</f>
        <v>0</v>
      </c>
      <c r="P7" s="450">
        <f>landbouw!P8</f>
        <v>0</v>
      </c>
      <c r="Q7" s="448">
        <f t="shared" si="0"/>
        <v>15236.874010815332</v>
      </c>
    </row>
    <row r="8" spans="1:17">
      <c r="A8" s="448" t="s">
        <v>643</v>
      </c>
      <c r="B8" s="449">
        <f>industrie!B18</f>
        <v>3729.1806113890207</v>
      </c>
      <c r="C8" s="449">
        <f>industrie!C18</f>
        <v>0</v>
      </c>
      <c r="D8" s="449">
        <f>industrie!D18</f>
        <v>2333.9974413883883</v>
      </c>
      <c r="E8" s="449">
        <f>industrie!E18</f>
        <v>51.934807500571367</v>
      </c>
      <c r="F8" s="449">
        <f>industrie!F18</f>
        <v>1189.0826111918116</v>
      </c>
      <c r="G8" s="449">
        <f>industrie!G18</f>
        <v>0</v>
      </c>
      <c r="H8" s="449">
        <f>industrie!H18</f>
        <v>0</v>
      </c>
      <c r="I8" s="449">
        <f>industrie!I18</f>
        <v>0</v>
      </c>
      <c r="J8" s="449">
        <f>industrie!J18</f>
        <v>14.45302373116778</v>
      </c>
      <c r="K8" s="449">
        <f>industrie!K18</f>
        <v>0</v>
      </c>
      <c r="L8" s="449">
        <f>industrie!L18</f>
        <v>0</v>
      </c>
      <c r="M8" s="449">
        <f>industrie!M18</f>
        <v>0</v>
      </c>
      <c r="N8" s="449">
        <f>industrie!N18</f>
        <v>99.475689117796449</v>
      </c>
      <c r="O8" s="449">
        <f>industrie!O18</f>
        <v>0</v>
      </c>
      <c r="P8" s="450">
        <f>industrie!P18</f>
        <v>0</v>
      </c>
      <c r="Q8" s="448">
        <f t="shared" si="0"/>
        <v>7418.1241843187554</v>
      </c>
    </row>
    <row r="9" spans="1:17" s="454" customFormat="1">
      <c r="A9" s="452" t="s">
        <v>562</v>
      </c>
      <c r="B9" s="453">
        <f>transport!B14</f>
        <v>0.90547777495655424</v>
      </c>
      <c r="C9" s="453">
        <f>transport!C14</f>
        <v>0</v>
      </c>
      <c r="D9" s="453">
        <f>transport!D14</f>
        <v>4.0337007402552114</v>
      </c>
      <c r="E9" s="453">
        <f>transport!E14</f>
        <v>403.01394860722638</v>
      </c>
      <c r="F9" s="453">
        <f>transport!F14</f>
        <v>0</v>
      </c>
      <c r="G9" s="453">
        <f>transport!G14</f>
        <v>60531.729734772271</v>
      </c>
      <c r="H9" s="453">
        <f>transport!H14</f>
        <v>12896.652736427184</v>
      </c>
      <c r="I9" s="453">
        <f>transport!I14</f>
        <v>0</v>
      </c>
      <c r="J9" s="453">
        <f>transport!J14</f>
        <v>0</v>
      </c>
      <c r="K9" s="453">
        <f>transport!K14</f>
        <v>0</v>
      </c>
      <c r="L9" s="453">
        <f>transport!L14</f>
        <v>0</v>
      </c>
      <c r="M9" s="453">
        <f>transport!M14</f>
        <v>3201.2264492387349</v>
      </c>
      <c r="N9" s="453">
        <f>transport!N14</f>
        <v>0</v>
      </c>
      <c r="O9" s="453">
        <f>transport!O14</f>
        <v>0</v>
      </c>
      <c r="P9" s="453">
        <f>transport!P14</f>
        <v>0</v>
      </c>
      <c r="Q9" s="452">
        <f>SUM(B9:P9)</f>
        <v>77037.562047560627</v>
      </c>
    </row>
    <row r="10" spans="1:17">
      <c r="A10" s="448" t="s">
        <v>552</v>
      </c>
      <c r="B10" s="449">
        <f>transport!B54</f>
        <v>7.6656315510975208</v>
      </c>
      <c r="C10" s="449">
        <f>transport!C54</f>
        <v>0</v>
      </c>
      <c r="D10" s="449">
        <f>transport!D54</f>
        <v>0</v>
      </c>
      <c r="E10" s="449">
        <f>transport!E54</f>
        <v>0</v>
      </c>
      <c r="F10" s="449">
        <f>transport!F54</f>
        <v>0</v>
      </c>
      <c r="G10" s="449">
        <f>transport!G54</f>
        <v>1662.9818031556381</v>
      </c>
      <c r="H10" s="449">
        <f>transport!H54</f>
        <v>0</v>
      </c>
      <c r="I10" s="449">
        <f>transport!I54</f>
        <v>0</v>
      </c>
      <c r="J10" s="449">
        <f>transport!J54</f>
        <v>0</v>
      </c>
      <c r="K10" s="449">
        <f>transport!K54</f>
        <v>0</v>
      </c>
      <c r="L10" s="449">
        <f>transport!L54</f>
        <v>0</v>
      </c>
      <c r="M10" s="449">
        <f>transport!M54</f>
        <v>71.202492883889931</v>
      </c>
      <c r="N10" s="449">
        <f>transport!N54</f>
        <v>0</v>
      </c>
      <c r="O10" s="449">
        <f>transport!O54</f>
        <v>0</v>
      </c>
      <c r="P10" s="450">
        <f>transport!P54</f>
        <v>0</v>
      </c>
      <c r="Q10" s="448">
        <f t="shared" si="0"/>
        <v>1741.8499275906256</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1855.9701028566201</v>
      </c>
      <c r="C14" s="456"/>
      <c r="D14" s="456">
        <f>'SEAP template'!E25</f>
        <v>2104.6033446653</v>
      </c>
      <c r="E14" s="456"/>
      <c r="F14" s="456"/>
      <c r="G14" s="456"/>
      <c r="H14" s="456"/>
      <c r="I14" s="456"/>
      <c r="J14" s="456"/>
      <c r="K14" s="456"/>
      <c r="L14" s="456"/>
      <c r="M14" s="456"/>
      <c r="N14" s="456"/>
      <c r="O14" s="456"/>
      <c r="P14" s="457"/>
      <c r="Q14" s="448">
        <f t="shared" si="0"/>
        <v>3960.5734475219201</v>
      </c>
    </row>
    <row r="15" spans="1:17" s="461" customFormat="1">
      <c r="A15" s="458" t="s">
        <v>556</v>
      </c>
      <c r="B15" s="459">
        <f ca="1">SUM(B4:B14)</f>
        <v>57126.003090797356</v>
      </c>
      <c r="C15" s="459">
        <f t="shared" ref="C15:Q15" ca="1" si="1">SUM(C4:C14)</f>
        <v>0</v>
      </c>
      <c r="D15" s="459">
        <f t="shared" ca="1" si="1"/>
        <v>62511.165875293686</v>
      </c>
      <c r="E15" s="459">
        <f t="shared" si="1"/>
        <v>2606.6912313137113</v>
      </c>
      <c r="F15" s="459">
        <f t="shared" ca="1" si="1"/>
        <v>77122.802833238733</v>
      </c>
      <c r="G15" s="459">
        <f t="shared" si="1"/>
        <v>62194.711537927906</v>
      </c>
      <c r="H15" s="459">
        <f t="shared" si="1"/>
        <v>12896.652736427184</v>
      </c>
      <c r="I15" s="459">
        <f t="shared" si="1"/>
        <v>0</v>
      </c>
      <c r="J15" s="459">
        <f t="shared" si="1"/>
        <v>1643.0488189278904</v>
      </c>
      <c r="K15" s="459">
        <f t="shared" si="1"/>
        <v>0</v>
      </c>
      <c r="L15" s="459">
        <f t="shared" ca="1" si="1"/>
        <v>0</v>
      </c>
      <c r="M15" s="459">
        <f t="shared" si="1"/>
        <v>3272.4289421226249</v>
      </c>
      <c r="N15" s="459">
        <f t="shared" ca="1" si="1"/>
        <v>8759.2873248128744</v>
      </c>
      <c r="O15" s="459">
        <f t="shared" si="1"/>
        <v>81.293333333333337</v>
      </c>
      <c r="P15" s="459">
        <f t="shared" si="1"/>
        <v>476.66666666666669</v>
      </c>
      <c r="Q15" s="459">
        <f t="shared" ca="1" si="1"/>
        <v>288690.75239086198</v>
      </c>
    </row>
    <row r="17" spans="1:17">
      <c r="A17" s="462" t="s">
        <v>557</v>
      </c>
      <c r="B17" s="766">
        <f ca="1">huishoudens!B10</f>
        <v>0.21455529881641627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6974.2719209506067</v>
      </c>
      <c r="C22" s="449">
        <f t="shared" ref="C22:C32" ca="1" si="3">C4*$C$17</f>
        <v>0</v>
      </c>
      <c r="D22" s="449">
        <f t="shared" ref="D22:D32" si="4">D4*$D$17</f>
        <v>8226.5586860851508</v>
      </c>
      <c r="E22" s="449">
        <f t="shared" ref="E22:E32" si="5">E4*$E$17</f>
        <v>407.2409138850673</v>
      </c>
      <c r="F22" s="449">
        <f t="shared" ref="F22:F32" si="6">F4*$F$17</f>
        <v>16350.424233829066</v>
      </c>
      <c r="G22" s="449">
        <f t="shared" ref="G22:G32" si="7">G4*$G$17</f>
        <v>0</v>
      </c>
      <c r="H22" s="449">
        <f t="shared" ref="H22:H32" si="8">H4*$H$17</f>
        <v>0</v>
      </c>
      <c r="I22" s="449">
        <f t="shared" ref="I22:I32" si="9">I4*$I$17</f>
        <v>0</v>
      </c>
      <c r="J22" s="449">
        <f t="shared" ref="J22:J32" si="10">J4*$J$17</f>
        <v>488.13563916326325</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32446.631393913154</v>
      </c>
    </row>
    <row r="23" spans="1:17">
      <c r="A23" s="448" t="s">
        <v>155</v>
      </c>
      <c r="B23" s="449">
        <f t="shared" ca="1" si="2"/>
        <v>3283.4731115799191</v>
      </c>
      <c r="C23" s="449">
        <f t="shared" ca="1" si="3"/>
        <v>0</v>
      </c>
      <c r="D23" s="449">
        <f t="shared" ca="1" si="4"/>
        <v>3464.0025535631576</v>
      </c>
      <c r="E23" s="449">
        <f t="shared" si="5"/>
        <v>74.55869601991003</v>
      </c>
      <c r="F23" s="449">
        <f t="shared" ca="1" si="6"/>
        <v>728.49145411176517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7550.525815274751</v>
      </c>
    </row>
    <row r="24" spans="1:17">
      <c r="A24" s="448" t="s">
        <v>193</v>
      </c>
      <c r="B24" s="449">
        <f t="shared" ca="1" si="2"/>
        <v>198.94554260632671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198.94554260632671</v>
      </c>
    </row>
    <row r="25" spans="1:17">
      <c r="A25" s="448" t="s">
        <v>111</v>
      </c>
      <c r="B25" s="449">
        <f t="shared" ca="1" si="2"/>
        <v>599.83343084436081</v>
      </c>
      <c r="C25" s="449">
        <f t="shared" ca="1" si="3"/>
        <v>0</v>
      </c>
      <c r="D25" s="449">
        <f t="shared" si="4"/>
        <v>39.282100828638491</v>
      </c>
      <c r="E25" s="449">
        <f t="shared" si="5"/>
        <v>6.6459319667651071</v>
      </c>
      <c r="F25" s="449">
        <f t="shared" si="6"/>
        <v>3195.387611345699</v>
      </c>
      <c r="G25" s="449">
        <f t="shared" si="7"/>
        <v>0</v>
      </c>
      <c r="H25" s="449">
        <f t="shared" si="8"/>
        <v>0</v>
      </c>
      <c r="I25" s="449">
        <f t="shared" si="9"/>
        <v>0</v>
      </c>
      <c r="J25" s="449">
        <f t="shared" si="10"/>
        <v>88.387272336376441</v>
      </c>
      <c r="K25" s="449">
        <f t="shared" si="11"/>
        <v>0</v>
      </c>
      <c r="L25" s="449">
        <f t="shared" si="12"/>
        <v>0</v>
      </c>
      <c r="M25" s="449">
        <f t="shared" si="13"/>
        <v>0</v>
      </c>
      <c r="N25" s="449">
        <f t="shared" si="14"/>
        <v>0</v>
      </c>
      <c r="O25" s="449">
        <f t="shared" si="15"/>
        <v>0</v>
      </c>
      <c r="P25" s="450">
        <f t="shared" si="16"/>
        <v>0</v>
      </c>
      <c r="Q25" s="448">
        <f t="shared" ca="1" si="17"/>
        <v>3929.5363473218399</v>
      </c>
    </row>
    <row r="26" spans="1:17">
      <c r="A26" s="448" t="s">
        <v>643</v>
      </c>
      <c r="B26" s="449">
        <f t="shared" ca="1" si="2"/>
        <v>800.11546041695726</v>
      </c>
      <c r="C26" s="449">
        <f t="shared" ca="1" si="3"/>
        <v>0</v>
      </c>
      <c r="D26" s="449">
        <f t="shared" si="4"/>
        <v>471.46748316045449</v>
      </c>
      <c r="E26" s="449">
        <f t="shared" si="5"/>
        <v>11.789201302629701</v>
      </c>
      <c r="F26" s="449">
        <f t="shared" si="6"/>
        <v>317.48505718821372</v>
      </c>
      <c r="G26" s="449">
        <f t="shared" si="7"/>
        <v>0</v>
      </c>
      <c r="H26" s="449">
        <f t="shared" si="8"/>
        <v>0</v>
      </c>
      <c r="I26" s="449">
        <f t="shared" si="9"/>
        <v>0</v>
      </c>
      <c r="J26" s="449">
        <f t="shared" si="10"/>
        <v>5.1163704008333939</v>
      </c>
      <c r="K26" s="449">
        <f t="shared" si="11"/>
        <v>0</v>
      </c>
      <c r="L26" s="449">
        <f t="shared" si="12"/>
        <v>0</v>
      </c>
      <c r="M26" s="449">
        <f t="shared" si="13"/>
        <v>0</v>
      </c>
      <c r="N26" s="449">
        <f t="shared" si="14"/>
        <v>0</v>
      </c>
      <c r="O26" s="449">
        <f t="shared" si="15"/>
        <v>0</v>
      </c>
      <c r="P26" s="450">
        <f t="shared" si="16"/>
        <v>0</v>
      </c>
      <c r="Q26" s="448">
        <f t="shared" ca="1" si="17"/>
        <v>1605.9735724690884</v>
      </c>
    </row>
    <row r="27" spans="1:17" s="454" customFormat="1">
      <c r="A27" s="452" t="s">
        <v>562</v>
      </c>
      <c r="B27" s="760">
        <f t="shared" ca="1" si="2"/>
        <v>0.19427505457742722</v>
      </c>
      <c r="C27" s="453">
        <f t="shared" ca="1" si="3"/>
        <v>0</v>
      </c>
      <c r="D27" s="453">
        <f t="shared" si="4"/>
        <v>0.81480754953155277</v>
      </c>
      <c r="E27" s="453">
        <f t="shared" si="5"/>
        <v>91.484166333840392</v>
      </c>
      <c r="F27" s="453">
        <f t="shared" si="6"/>
        <v>0</v>
      </c>
      <c r="G27" s="453">
        <f t="shared" si="7"/>
        <v>16161.971839184198</v>
      </c>
      <c r="H27" s="453">
        <f t="shared" si="8"/>
        <v>3211.2665313703687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19465.731619492515</v>
      </c>
    </row>
    <row r="28" spans="1:17">
      <c r="A28" s="448" t="s">
        <v>552</v>
      </c>
      <c r="B28" s="449">
        <f t="shared" ca="1" si="2"/>
        <v>1.6447018680622771</v>
      </c>
      <c r="C28" s="449">
        <f t="shared" ca="1" si="3"/>
        <v>0</v>
      </c>
      <c r="D28" s="449">
        <f t="shared" si="4"/>
        <v>0</v>
      </c>
      <c r="E28" s="449">
        <f t="shared" si="5"/>
        <v>0</v>
      </c>
      <c r="F28" s="449">
        <f t="shared" si="6"/>
        <v>0</v>
      </c>
      <c r="G28" s="449">
        <f t="shared" si="7"/>
        <v>444.01614144255541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445.66084331061768</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398.20822001273694</v>
      </c>
      <c r="C32" s="449">
        <f t="shared" ca="1" si="3"/>
        <v>0</v>
      </c>
      <c r="D32" s="449">
        <f t="shared" si="4"/>
        <v>425.12987562239061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823.3380956351275</v>
      </c>
    </row>
    <row r="33" spans="1:17" s="461" customFormat="1">
      <c r="A33" s="458" t="s">
        <v>556</v>
      </c>
      <c r="B33" s="459">
        <f ca="1">SUM(B22:B32)</f>
        <v>12256.686663333547</v>
      </c>
      <c r="C33" s="459">
        <f t="shared" ref="C33:Q33" ca="1" si="19">SUM(C22:C32)</f>
        <v>0</v>
      </c>
      <c r="D33" s="459">
        <f t="shared" ca="1" si="19"/>
        <v>12627.255506809326</v>
      </c>
      <c r="E33" s="459">
        <f t="shared" si="19"/>
        <v>591.7189095082125</v>
      </c>
      <c r="F33" s="459">
        <f t="shared" ca="1" si="19"/>
        <v>20591.788356474746</v>
      </c>
      <c r="G33" s="459">
        <f t="shared" si="19"/>
        <v>16605.987980626753</v>
      </c>
      <c r="H33" s="459">
        <f t="shared" si="19"/>
        <v>3211.2665313703687</v>
      </c>
      <c r="I33" s="459">
        <f t="shared" si="19"/>
        <v>0</v>
      </c>
      <c r="J33" s="459">
        <f t="shared" si="19"/>
        <v>581.63928190047307</v>
      </c>
      <c r="K33" s="459">
        <f t="shared" si="19"/>
        <v>0</v>
      </c>
      <c r="L33" s="459">
        <f t="shared" ca="1" si="19"/>
        <v>0</v>
      </c>
      <c r="M33" s="459">
        <f t="shared" si="19"/>
        <v>0</v>
      </c>
      <c r="N33" s="459">
        <f t="shared" ca="1" si="19"/>
        <v>0</v>
      </c>
      <c r="O33" s="459">
        <f t="shared" si="19"/>
        <v>0</v>
      </c>
      <c r="P33" s="459">
        <f t="shared" si="19"/>
        <v>0</v>
      </c>
      <c r="Q33" s="459">
        <f t="shared" ca="1" si="19"/>
        <v>66466.343230023427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1665.8824422292732</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1665.8824422292732</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0.21455529881641627</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0.21455529881641627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0.21455529881641627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0.21455529881641627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6472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2205</v>
      </c>
      <c r="C14" s="326"/>
      <c r="D14" s="326"/>
      <c r="E14" s="326"/>
      <c r="F14" s="326"/>
    </row>
    <row r="15" spans="1:6">
      <c r="A15" s="1282" t="s">
        <v>183</v>
      </c>
      <c r="B15" s="1283">
        <v>27</v>
      </c>
      <c r="C15" s="326"/>
      <c r="D15" s="326"/>
      <c r="E15" s="326"/>
      <c r="F15" s="326"/>
    </row>
    <row r="16" spans="1:6">
      <c r="A16" s="1282" t="s">
        <v>6</v>
      </c>
      <c r="B16" s="1283">
        <v>1031</v>
      </c>
      <c r="C16" s="326"/>
      <c r="D16" s="326"/>
      <c r="E16" s="326"/>
      <c r="F16" s="326"/>
    </row>
    <row r="17" spans="1:6">
      <c r="A17" s="1282" t="s">
        <v>7</v>
      </c>
      <c r="B17" s="1283">
        <v>551</v>
      </c>
      <c r="C17" s="326"/>
      <c r="D17" s="326"/>
      <c r="E17" s="326"/>
      <c r="F17" s="326"/>
    </row>
    <row r="18" spans="1:6">
      <c r="A18" s="1282" t="s">
        <v>8</v>
      </c>
      <c r="B18" s="1283">
        <v>924</v>
      </c>
      <c r="C18" s="326"/>
      <c r="D18" s="326"/>
      <c r="E18" s="326"/>
      <c r="F18" s="326"/>
    </row>
    <row r="19" spans="1:6">
      <c r="A19" s="1282" t="s">
        <v>9</v>
      </c>
      <c r="B19" s="1283">
        <v>873</v>
      </c>
      <c r="C19" s="326"/>
      <c r="D19" s="326"/>
      <c r="E19" s="326"/>
      <c r="F19" s="326"/>
    </row>
    <row r="20" spans="1:6">
      <c r="A20" s="1282" t="s">
        <v>10</v>
      </c>
      <c r="B20" s="1283">
        <v>668</v>
      </c>
      <c r="C20" s="326"/>
      <c r="D20" s="326"/>
      <c r="E20" s="326"/>
      <c r="F20" s="326"/>
    </row>
    <row r="21" spans="1:6">
      <c r="A21" s="1282" t="s">
        <v>11</v>
      </c>
      <c r="B21" s="1283">
        <v>345</v>
      </c>
      <c r="C21" s="326"/>
      <c r="D21" s="326"/>
      <c r="E21" s="326"/>
      <c r="F21" s="326"/>
    </row>
    <row r="22" spans="1:6">
      <c r="A22" s="1282" t="s">
        <v>12</v>
      </c>
      <c r="B22" s="1283">
        <v>2143</v>
      </c>
      <c r="C22" s="326"/>
      <c r="D22" s="326"/>
      <c r="E22" s="326"/>
      <c r="F22" s="326"/>
    </row>
    <row r="23" spans="1:6">
      <c r="A23" s="1282" t="s">
        <v>13</v>
      </c>
      <c r="B23" s="1283">
        <v>15</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250</v>
      </c>
      <c r="C26" s="326"/>
      <c r="D26" s="326"/>
      <c r="E26" s="326"/>
      <c r="F26" s="326"/>
    </row>
    <row r="27" spans="1:6">
      <c r="A27" s="1282" t="s">
        <v>17</v>
      </c>
      <c r="B27" s="1283">
        <v>0</v>
      </c>
      <c r="C27" s="326"/>
      <c r="D27" s="326"/>
      <c r="E27" s="326"/>
      <c r="F27" s="326"/>
    </row>
    <row r="28" spans="1:6" s="43" customFormat="1">
      <c r="A28" s="1284" t="s">
        <v>18</v>
      </c>
      <c r="B28" s="1285">
        <v>126064</v>
      </c>
      <c r="C28" s="332"/>
      <c r="D28" s="332"/>
      <c r="E28" s="332"/>
      <c r="F28" s="332"/>
    </row>
    <row r="29" spans="1:6">
      <c r="A29" s="1284" t="s">
        <v>978</v>
      </c>
      <c r="B29" s="1285">
        <v>68</v>
      </c>
      <c r="C29" s="332"/>
      <c r="D29" s="332"/>
      <c r="E29" s="332"/>
      <c r="F29" s="332"/>
    </row>
    <row r="30" spans="1:6">
      <c r="A30" s="1277" t="s">
        <v>979</v>
      </c>
      <c r="B30" s="1286">
        <v>38</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3</v>
      </c>
      <c r="F38" s="1283">
        <v>158808</v>
      </c>
    </row>
    <row r="39" spans="1:6">
      <c r="A39" s="1282" t="s">
        <v>29</v>
      </c>
      <c r="B39" s="1282" t="s">
        <v>30</v>
      </c>
      <c r="C39" s="1283">
        <v>2875</v>
      </c>
      <c r="D39" s="1283">
        <v>45150263.913443998</v>
      </c>
      <c r="E39" s="1283">
        <v>6396</v>
      </c>
      <c r="F39" s="1283">
        <v>31218304.4193317</v>
      </c>
    </row>
    <row r="40" spans="1:6">
      <c r="A40" s="1282" t="s">
        <v>29</v>
      </c>
      <c r="B40" s="1282" t="s">
        <v>28</v>
      </c>
      <c r="C40" s="1283">
        <v>0</v>
      </c>
      <c r="D40" s="1283">
        <v>0</v>
      </c>
      <c r="E40" s="1283">
        <v>1</v>
      </c>
      <c r="F40" s="1283">
        <v>8530.2155807052004</v>
      </c>
    </row>
    <row r="41" spans="1:6">
      <c r="A41" s="1282" t="s">
        <v>31</v>
      </c>
      <c r="B41" s="1282" t="s">
        <v>32</v>
      </c>
      <c r="C41" s="1283">
        <v>16</v>
      </c>
      <c r="D41" s="1283">
        <v>409411.13489584799</v>
      </c>
      <c r="E41" s="1283">
        <v>101</v>
      </c>
      <c r="F41" s="1283">
        <v>792583.63257768704</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4</v>
      </c>
      <c r="F47" s="1283">
        <v>554562.97016196698</v>
      </c>
    </row>
    <row r="48" spans="1:6">
      <c r="A48" s="1282" t="s">
        <v>31</v>
      </c>
      <c r="B48" s="1282" t="s">
        <v>28</v>
      </c>
      <c r="C48" s="1283">
        <v>29</v>
      </c>
      <c r="D48" s="1283">
        <v>1434861.76504953</v>
      </c>
      <c r="E48" s="1283">
        <v>40</v>
      </c>
      <c r="F48" s="1283">
        <v>1748104.12599787</v>
      </c>
    </row>
    <row r="49" spans="1:6">
      <c r="A49" s="1282" t="s">
        <v>31</v>
      </c>
      <c r="B49" s="1282" t="s">
        <v>39</v>
      </c>
      <c r="C49" s="1283">
        <v>0</v>
      </c>
      <c r="D49" s="1283">
        <v>0</v>
      </c>
      <c r="E49" s="1283">
        <v>0</v>
      </c>
      <c r="F49" s="1283">
        <v>0</v>
      </c>
    </row>
    <row r="50" spans="1:6">
      <c r="A50" s="1282" t="s">
        <v>31</v>
      </c>
      <c r="B50" s="1282" t="s">
        <v>40</v>
      </c>
      <c r="C50" s="1283">
        <v>8</v>
      </c>
      <c r="D50" s="1283">
        <v>743307.41201514099</v>
      </c>
      <c r="E50" s="1283">
        <v>11</v>
      </c>
      <c r="F50" s="1283">
        <v>633929.88265149703</v>
      </c>
    </row>
    <row r="51" spans="1:6">
      <c r="A51" s="1282" t="s">
        <v>41</v>
      </c>
      <c r="B51" s="1282" t="s">
        <v>42</v>
      </c>
      <c r="C51" s="1283">
        <v>5</v>
      </c>
      <c r="D51" s="1283">
        <v>69729.164280445693</v>
      </c>
      <c r="E51" s="1283">
        <v>112</v>
      </c>
      <c r="F51" s="1283">
        <v>2692087.7764466298</v>
      </c>
    </row>
    <row r="52" spans="1:6">
      <c r="A52" s="1282" t="s">
        <v>41</v>
      </c>
      <c r="B52" s="1282" t="s">
        <v>28</v>
      </c>
      <c r="C52" s="1283">
        <v>7</v>
      </c>
      <c r="D52" s="1283">
        <v>145864.89967335601</v>
      </c>
      <c r="E52" s="1283">
        <v>10</v>
      </c>
      <c r="F52" s="1283">
        <v>103617.732358384</v>
      </c>
    </row>
    <row r="53" spans="1:6">
      <c r="A53" s="1282" t="s">
        <v>43</v>
      </c>
      <c r="B53" s="1282" t="s">
        <v>44</v>
      </c>
      <c r="C53" s="1283">
        <v>121</v>
      </c>
      <c r="D53" s="1283">
        <v>2104603.3446653001</v>
      </c>
      <c r="E53" s="1283">
        <v>271</v>
      </c>
      <c r="F53" s="1283">
        <v>1855970.10285662</v>
      </c>
    </row>
    <row r="54" spans="1:6">
      <c r="A54" s="1282" t="s">
        <v>45</v>
      </c>
      <c r="B54" s="1282" t="s">
        <v>46</v>
      </c>
      <c r="C54" s="1283">
        <v>0</v>
      </c>
      <c r="D54" s="1283">
        <v>0</v>
      </c>
      <c r="E54" s="1283">
        <v>1</v>
      </c>
      <c r="F54" s="1283">
        <v>927246</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18</v>
      </c>
      <c r="D57" s="1283">
        <v>1047726.5820968</v>
      </c>
      <c r="E57" s="1283">
        <v>64</v>
      </c>
      <c r="F57" s="1283">
        <v>1663366.0369106</v>
      </c>
    </row>
    <row r="58" spans="1:6">
      <c r="A58" s="1282" t="s">
        <v>48</v>
      </c>
      <c r="B58" s="1282" t="s">
        <v>50</v>
      </c>
      <c r="C58" s="1283">
        <v>7</v>
      </c>
      <c r="D58" s="1283">
        <v>192515.31135146299</v>
      </c>
      <c r="E58" s="1283">
        <v>18</v>
      </c>
      <c r="F58" s="1283">
        <v>140021.214441344</v>
      </c>
    </row>
    <row r="59" spans="1:6">
      <c r="A59" s="1282" t="s">
        <v>48</v>
      </c>
      <c r="B59" s="1282" t="s">
        <v>51</v>
      </c>
      <c r="C59" s="1283">
        <v>73</v>
      </c>
      <c r="D59" s="1283">
        <v>3735317.6688497202</v>
      </c>
      <c r="E59" s="1283">
        <v>210</v>
      </c>
      <c r="F59" s="1283">
        <v>4902594.1385723799</v>
      </c>
    </row>
    <row r="60" spans="1:6">
      <c r="A60" s="1282" t="s">
        <v>48</v>
      </c>
      <c r="B60" s="1282" t="s">
        <v>52</v>
      </c>
      <c r="C60" s="1283">
        <v>41</v>
      </c>
      <c r="D60" s="1283">
        <v>1629986.8860814599</v>
      </c>
      <c r="E60" s="1283">
        <v>67</v>
      </c>
      <c r="F60" s="1283">
        <v>1248845.3461567999</v>
      </c>
    </row>
    <row r="61" spans="1:6">
      <c r="A61" s="1282" t="s">
        <v>48</v>
      </c>
      <c r="B61" s="1282" t="s">
        <v>53</v>
      </c>
      <c r="C61" s="1283">
        <v>91</v>
      </c>
      <c r="D61" s="1283">
        <v>6143282.8522221902</v>
      </c>
      <c r="E61" s="1283">
        <v>288</v>
      </c>
      <c r="F61" s="1283">
        <v>4958861.7762362296</v>
      </c>
    </row>
    <row r="62" spans="1:6">
      <c r="A62" s="1282" t="s">
        <v>48</v>
      </c>
      <c r="B62" s="1282" t="s">
        <v>54</v>
      </c>
      <c r="C62" s="1283">
        <v>0</v>
      </c>
      <c r="D62" s="1283">
        <v>0</v>
      </c>
      <c r="E62" s="1283">
        <v>4</v>
      </c>
      <c r="F62" s="1283">
        <v>106509.494951086</v>
      </c>
    </row>
    <row r="63" spans="1:6">
      <c r="A63" s="1282" t="s">
        <v>48</v>
      </c>
      <c r="B63" s="1282" t="s">
        <v>28</v>
      </c>
      <c r="C63" s="1283">
        <v>79</v>
      </c>
      <c r="D63" s="1283">
        <v>6262841.9775435096</v>
      </c>
      <c r="E63" s="1283">
        <v>91</v>
      </c>
      <c r="F63" s="1283">
        <v>2283423.6217150302</v>
      </c>
    </row>
    <row r="64" spans="1:6">
      <c r="A64" s="1282" t="s">
        <v>55</v>
      </c>
      <c r="B64" s="1282" t="s">
        <v>56</v>
      </c>
      <c r="C64" s="1283">
        <v>0</v>
      </c>
      <c r="D64" s="1283">
        <v>0</v>
      </c>
      <c r="E64" s="1283">
        <v>0</v>
      </c>
      <c r="F64" s="1283">
        <v>0</v>
      </c>
    </row>
    <row r="65" spans="1:6">
      <c r="A65" s="1282" t="s">
        <v>55</v>
      </c>
      <c r="B65" s="1282" t="s">
        <v>28</v>
      </c>
      <c r="C65" s="1283">
        <v>2</v>
      </c>
      <c r="D65" s="1283">
        <v>46900.4354782519</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5</v>
      </c>
      <c r="D68" s="1286">
        <v>80318.584614861102</v>
      </c>
      <c r="E68" s="1286">
        <v>19</v>
      </c>
      <c r="F68" s="1286">
        <v>91205.142646356893</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32267084</v>
      </c>
      <c r="E73" s="447"/>
      <c r="F73" s="326"/>
    </row>
    <row r="74" spans="1:6">
      <c r="A74" s="1282" t="s">
        <v>63</v>
      </c>
      <c r="B74" s="1282" t="s">
        <v>760</v>
      </c>
      <c r="C74" s="1296" t="s">
        <v>761</v>
      </c>
      <c r="D74" s="1297">
        <v>867108.74407225184</v>
      </c>
      <c r="E74" s="447"/>
      <c r="F74" s="326"/>
    </row>
    <row r="75" spans="1:6">
      <c r="A75" s="1282" t="s">
        <v>64</v>
      </c>
      <c r="B75" s="1282" t="s">
        <v>758</v>
      </c>
      <c r="C75" s="1296" t="s">
        <v>762</v>
      </c>
      <c r="D75" s="1297">
        <v>52028014</v>
      </c>
      <c r="E75" s="447"/>
      <c r="F75" s="326"/>
    </row>
    <row r="76" spans="1:6">
      <c r="A76" s="1282" t="s">
        <v>64</v>
      </c>
      <c r="B76" s="1282" t="s">
        <v>760</v>
      </c>
      <c r="C76" s="1296" t="s">
        <v>763</v>
      </c>
      <c r="D76" s="1297">
        <v>1844040.7440722517</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456108.51185549638</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1278.8734945247807</v>
      </c>
      <c r="C91" s="326"/>
      <c r="D91" s="326"/>
      <c r="E91" s="326"/>
      <c r="F91" s="326"/>
    </row>
    <row r="92" spans="1:6">
      <c r="A92" s="1277" t="s">
        <v>68</v>
      </c>
      <c r="B92" s="1278">
        <v>387.00894770449247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1490</v>
      </c>
      <c r="C97" s="326"/>
      <c r="D97" s="326"/>
      <c r="E97" s="326"/>
      <c r="F97" s="326"/>
    </row>
    <row r="98" spans="1:6">
      <c r="A98" s="1282" t="s">
        <v>71</v>
      </c>
      <c r="B98" s="1283">
        <v>2</v>
      </c>
      <c r="C98" s="326"/>
      <c r="D98" s="326"/>
      <c r="E98" s="326"/>
      <c r="F98" s="326"/>
    </row>
    <row r="99" spans="1:6">
      <c r="A99" s="1282" t="s">
        <v>72</v>
      </c>
      <c r="B99" s="1283">
        <v>41</v>
      </c>
      <c r="C99" s="326"/>
      <c r="D99" s="326"/>
      <c r="E99" s="326"/>
      <c r="F99" s="326"/>
    </row>
    <row r="100" spans="1:6">
      <c r="A100" s="1282" t="s">
        <v>73</v>
      </c>
      <c r="B100" s="1283">
        <v>697</v>
      </c>
      <c r="C100" s="326"/>
      <c r="D100" s="326"/>
      <c r="E100" s="326"/>
      <c r="F100" s="326"/>
    </row>
    <row r="101" spans="1:6">
      <c r="A101" s="1282" t="s">
        <v>74</v>
      </c>
      <c r="B101" s="1283">
        <v>39</v>
      </c>
      <c r="C101" s="326"/>
      <c r="D101" s="326"/>
      <c r="E101" s="326"/>
      <c r="F101" s="326"/>
    </row>
    <row r="102" spans="1:6">
      <c r="A102" s="1282" t="s">
        <v>75</v>
      </c>
      <c r="B102" s="1283">
        <v>62</v>
      </c>
      <c r="C102" s="326"/>
      <c r="D102" s="326"/>
      <c r="E102" s="326"/>
      <c r="F102" s="326"/>
    </row>
    <row r="103" spans="1:6">
      <c r="A103" s="1282" t="s">
        <v>76</v>
      </c>
      <c r="B103" s="1283">
        <v>137</v>
      </c>
      <c r="C103" s="326"/>
      <c r="D103" s="326"/>
      <c r="E103" s="326"/>
      <c r="F103" s="326"/>
    </row>
    <row r="104" spans="1:6">
      <c r="A104" s="1282" t="s">
        <v>77</v>
      </c>
      <c r="B104" s="1283">
        <v>3027</v>
      </c>
      <c r="C104" s="326"/>
      <c r="D104" s="326"/>
      <c r="E104" s="326"/>
      <c r="F104" s="326"/>
    </row>
    <row r="105" spans="1:6">
      <c r="A105" s="1277" t="s">
        <v>78</v>
      </c>
      <c r="B105" s="1286">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12</v>
      </c>
      <c r="C123" s="1283">
        <v>4</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47</v>
      </c>
      <c r="C129" s="326"/>
      <c r="D129" s="326"/>
      <c r="E129" s="326"/>
      <c r="F129" s="326"/>
    </row>
    <row r="130" spans="1:6">
      <c r="A130" s="1282" t="s">
        <v>290</v>
      </c>
      <c r="B130" s="1283">
        <v>1</v>
      </c>
      <c r="C130" s="326"/>
      <c r="D130" s="326"/>
      <c r="E130" s="326"/>
      <c r="F130" s="326"/>
    </row>
    <row r="131" spans="1:6">
      <c r="A131" s="1282" t="s">
        <v>291</v>
      </c>
      <c r="B131" s="1283">
        <v>1</v>
      </c>
      <c r="C131" s="326"/>
      <c r="D131" s="326"/>
      <c r="E131" s="326"/>
      <c r="F131" s="326"/>
    </row>
    <row r="132" spans="1:6">
      <c r="A132" s="1277" t="s">
        <v>292</v>
      </c>
      <c r="B132" s="1278">
        <v>12</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57126.003090797356</v>
      </c>
      <c r="C3" s="43" t="s">
        <v>169</v>
      </c>
      <c r="D3" s="43"/>
      <c r="E3" s="156"/>
      <c r="F3" s="43"/>
      <c r="G3" s="43"/>
      <c r="H3" s="43"/>
      <c r="I3" s="43"/>
      <c r="J3" s="43"/>
      <c r="K3" s="96"/>
    </row>
    <row r="4" spans="1:11">
      <c r="A4" s="354" t="s">
        <v>170</v>
      </c>
      <c r="B4" s="49">
        <f>IF(ISERROR('SEAP template'!B78+'SEAP template'!C78),0,'SEAP template'!B78+'SEAP template'!C78)</f>
        <v>1665.8824422292732</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0.21455529881641627</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927.24599999999998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927.24599999999998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0.21455529881641627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198.94554260632671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31226.834634912404</v>
      </c>
      <c r="C5" s="17">
        <f>IF(ISERROR('Eigen informatie GS &amp; warmtenet'!B57),0,'Eigen informatie GS &amp; warmtenet'!B57)</f>
        <v>0</v>
      </c>
      <c r="D5" s="30">
        <f>(SUM(HH_hh_gas_kWh,HH_rest_gas_kWh)/1000)*0.902</f>
        <v>40725.538049926487</v>
      </c>
      <c r="E5" s="17">
        <f>B32*B41</f>
        <v>1794.0128364980937</v>
      </c>
      <c r="F5" s="17">
        <f>B36*B45</f>
        <v>61237.54394692534</v>
      </c>
      <c r="G5" s="18"/>
      <c r="H5" s="17"/>
      <c r="I5" s="17"/>
      <c r="J5" s="17">
        <f>B35*B44+C35*C44</f>
        <v>1378.9142349244726</v>
      </c>
      <c r="K5" s="17"/>
      <c r="L5" s="17"/>
      <c r="M5" s="17"/>
      <c r="N5" s="17">
        <f>B34*B43+C34*C43</f>
        <v>8169.5301003772483</v>
      </c>
      <c r="O5" s="17">
        <f>B52*B53*B54</f>
        <v>79.73</v>
      </c>
      <c r="P5" s="17">
        <f>B60*B61*B62/1000-B60*B61*B62/1000/B63</f>
        <v>457.6</v>
      </c>
    </row>
    <row r="6" spans="1:16">
      <c r="A6" s="16" t="s">
        <v>621</v>
      </c>
      <c r="B6" s="768">
        <f>kWh_PV_kleiner_dan_10kW</f>
        <v>1278.8734945247807</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32505.708129437186</v>
      </c>
      <c r="C8" s="21">
        <f>C5</f>
        <v>0</v>
      </c>
      <c r="D8" s="21">
        <f>D5</f>
        <v>40725.538049926487</v>
      </c>
      <c r="E8" s="21">
        <f>E5</f>
        <v>1794.0128364980937</v>
      </c>
      <c r="F8" s="21">
        <f>F5</f>
        <v>61237.54394692534</v>
      </c>
      <c r="G8" s="21"/>
      <c r="H8" s="21"/>
      <c r="I8" s="21"/>
      <c r="J8" s="21">
        <f>J5</f>
        <v>1378.9142349244726</v>
      </c>
      <c r="K8" s="21"/>
      <c r="L8" s="21">
        <f>L5</f>
        <v>0</v>
      </c>
      <c r="M8" s="21">
        <f>M5</f>
        <v>0</v>
      </c>
      <c r="N8" s="21">
        <f>N5</f>
        <v>8169.5301003772483</v>
      </c>
      <c r="O8" s="21">
        <f>O5</f>
        <v>79.73</v>
      </c>
      <c r="P8" s="21">
        <f>P5</f>
        <v>457.6</v>
      </c>
    </row>
    <row r="9" spans="1:16">
      <c r="B9" s="19"/>
      <c r="C9" s="19"/>
      <c r="D9" s="256"/>
      <c r="E9" s="19"/>
      <c r="F9" s="19"/>
      <c r="G9" s="19"/>
      <c r="H9" s="19"/>
      <c r="I9" s="19"/>
      <c r="J9" s="19"/>
      <c r="K9" s="19"/>
      <c r="L9" s="19"/>
      <c r="M9" s="19"/>
      <c r="N9" s="19"/>
      <c r="O9" s="19"/>
      <c r="P9" s="19"/>
    </row>
    <row r="10" spans="1:16">
      <c r="A10" s="24" t="s">
        <v>213</v>
      </c>
      <c r="B10" s="25">
        <f ca="1">'EF ele_warmte'!B12</f>
        <v>0.21455529881641627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6974.2719209506067</v>
      </c>
      <c r="C12" s="23">
        <f ca="1">C10*C8</f>
        <v>0</v>
      </c>
      <c r="D12" s="23">
        <f>D8*D10</f>
        <v>8226.5586860851508</v>
      </c>
      <c r="E12" s="23">
        <f>E10*E8</f>
        <v>407.2409138850673</v>
      </c>
      <c r="F12" s="23">
        <f>F10*F8</f>
        <v>16350.424233829066</v>
      </c>
      <c r="G12" s="23"/>
      <c r="H12" s="23"/>
      <c r="I12" s="23"/>
      <c r="J12" s="23">
        <f>J10*J8</f>
        <v>488.13563916326325</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6472</v>
      </c>
      <c r="C26" s="36"/>
      <c r="D26" s="226"/>
    </row>
    <row r="27" spans="1:5" s="15" customFormat="1">
      <c r="A27" s="228" t="s">
        <v>701</v>
      </c>
      <c r="B27" s="37">
        <f>SUM(HH_hh_gas_aantal,HH_rest_gas_aantal)</f>
        <v>2875</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2731.25</v>
      </c>
      <c r="C31" s="34" t="s">
        <v>110</v>
      </c>
      <c r="D31" s="172"/>
    </row>
    <row r="32" spans="1:5">
      <c r="A32" s="169" t="s">
        <v>72</v>
      </c>
      <c r="B32" s="33">
        <f>IF((B21*($B$26-($B$27-0.05*$B$27)-$B$60))&lt;0,0,B21*($B$26-($B$27-0.05*$B$27)-$B$60))</f>
        <v>26.35015428478567</v>
      </c>
      <c r="C32" s="34" t="s">
        <v>110</v>
      </c>
      <c r="D32" s="172"/>
    </row>
    <row r="33" spans="1:6">
      <c r="A33" s="169" t="s">
        <v>73</v>
      </c>
      <c r="B33" s="33">
        <f>IF((B22*($B$26-($B$27-0.05*$B$27)-$B$60))&lt;0,0,B22*($B$26-($B$27-0.05*$B$27)-$B$60))</f>
        <v>755.19183674695273</v>
      </c>
      <c r="C33" s="34" t="s">
        <v>110</v>
      </c>
      <c r="D33" s="172"/>
    </row>
    <row r="34" spans="1:6">
      <c r="A34" s="169" t="s">
        <v>74</v>
      </c>
      <c r="B34" s="33">
        <f>IF((B24*($B$26-($B$27-0.05*$B$27)-$B$60))&lt;0,0,B24*($B$26-($B$27-0.05*$B$27)-$B$60))</f>
        <v>150.5932333556579</v>
      </c>
      <c r="C34" s="33">
        <f>B26*C24</f>
        <v>1323.3791225325549</v>
      </c>
      <c r="D34" s="231"/>
    </row>
    <row r="35" spans="1:6">
      <c r="A35" s="169" t="s">
        <v>76</v>
      </c>
      <c r="B35" s="33">
        <f>IF((B19*($B$26-($B$27-0.05*$B$27)-$B$60))&lt;0,0,B19*($B$26-($B$27-0.05*$B$27)-$B$60))</f>
        <v>78.423078228528794</v>
      </c>
      <c r="C35" s="33">
        <f>B35/2</f>
        <v>39.211539114264397</v>
      </c>
      <c r="D35" s="231"/>
    </row>
    <row r="36" spans="1:6">
      <c r="A36" s="169" t="s">
        <v>77</v>
      </c>
      <c r="B36" s="33">
        <f>IF((B18*($B$26-($B$27-0.05*$B$27)-$B$60))&lt;0,0,B18*($B$26-($B$27-0.05*$B$27)-$B$60))</f>
        <v>2706.1916973840748</v>
      </c>
      <c r="C36" s="34" t="s">
        <v>110</v>
      </c>
      <c r="D36" s="172"/>
    </row>
    <row r="37" spans="1:6">
      <c r="A37" s="169" t="s">
        <v>78</v>
      </c>
      <c r="B37" s="33">
        <f>B60</f>
        <v>24</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51</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24</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15303.621628983468</v>
      </c>
      <c r="C5" s="17">
        <f>IF(ISERROR('Eigen informatie GS &amp; warmtenet'!B58),0,'Eigen informatie GS &amp; warmtenet'!B58)</f>
        <v>0</v>
      </c>
      <c r="D5" s="30">
        <f>SUM(D6:D12)</f>
        <v>17148.527492886918</v>
      </c>
      <c r="E5" s="17">
        <f>SUM(E6:E12)</f>
        <v>328.452405374053</v>
      </c>
      <c r="F5" s="17">
        <f>SUM(F6:F12)</f>
        <v>2728.4324124036148</v>
      </c>
      <c r="G5" s="18"/>
      <c r="H5" s="17"/>
      <c r="I5" s="17"/>
      <c r="J5" s="17">
        <f>SUM(J6:J12)</f>
        <v>0</v>
      </c>
      <c r="K5" s="17"/>
      <c r="L5" s="17"/>
      <c r="M5" s="17"/>
      <c r="N5" s="17">
        <f>SUM(N6:N12)</f>
        <v>490.28153531782971</v>
      </c>
      <c r="O5" s="17">
        <f>B38*B39*B40</f>
        <v>1.5633333333333335</v>
      </c>
      <c r="P5" s="17">
        <f>B46*B47*B48/1000-B46*B47*B48/1000/B49</f>
        <v>19.066666666666666</v>
      </c>
      <c r="R5" s="32"/>
    </row>
    <row r="6" spans="1:18">
      <c r="A6" s="32" t="s">
        <v>53</v>
      </c>
      <c r="B6" s="37">
        <f>B26</f>
        <v>4958.8617762362292</v>
      </c>
      <c r="C6" s="33"/>
      <c r="D6" s="37">
        <f>IF(ISERROR(TER_kantoor_gas_kWh/1000),0,TER_kantoor_gas_kWh/1000)*0.902</f>
        <v>5541.2411327044156</v>
      </c>
      <c r="E6" s="33">
        <f>$C$26*'E Balans VL '!I12/100/3.6*1000000</f>
        <v>173.57966907409494</v>
      </c>
      <c r="F6" s="33">
        <f>$C$26*('E Balans VL '!L12+'E Balans VL '!N12)/100/3.6*1000000</f>
        <v>751.86991099647969</v>
      </c>
      <c r="G6" s="34"/>
      <c r="H6" s="33"/>
      <c r="I6" s="33"/>
      <c r="J6" s="33">
        <f>$C$26*('E Balans VL '!D12+'E Balans VL '!E12)/100/3.6*1000000</f>
        <v>0</v>
      </c>
      <c r="K6" s="33"/>
      <c r="L6" s="33"/>
      <c r="M6" s="33"/>
      <c r="N6" s="33">
        <f>$C$26*'E Balans VL '!Y12/100/3.6*1000000</f>
        <v>38.330449449285275</v>
      </c>
      <c r="O6" s="33"/>
      <c r="P6" s="33"/>
      <c r="R6" s="32"/>
    </row>
    <row r="7" spans="1:18">
      <c r="A7" s="32" t="s">
        <v>52</v>
      </c>
      <c r="B7" s="37">
        <f t="shared" ref="B7:B12" si="0">B27</f>
        <v>1248.8453461567999</v>
      </c>
      <c r="C7" s="33"/>
      <c r="D7" s="37">
        <f>IF(ISERROR(TER_horeca_gas_kWh/1000),0,TER_horeca_gas_kWh/1000)*0.902</f>
        <v>1470.2481712454769</v>
      </c>
      <c r="E7" s="33">
        <f>$C$27*'E Balans VL '!I9/100/3.6*1000000</f>
        <v>70.451483122198823</v>
      </c>
      <c r="F7" s="33">
        <f>$C$27*('E Balans VL '!L9+'E Balans VL '!N9)/100/3.6*1000000</f>
        <v>217.55577049939583</v>
      </c>
      <c r="G7" s="34"/>
      <c r="H7" s="33"/>
      <c r="I7" s="33"/>
      <c r="J7" s="33">
        <f>$C$27*('E Balans VL '!D9+'E Balans VL '!E9)/100/3.6*1000000</f>
        <v>0</v>
      </c>
      <c r="K7" s="33"/>
      <c r="L7" s="33"/>
      <c r="M7" s="33"/>
      <c r="N7" s="33">
        <f>$C$27*'E Balans VL '!Y9/100/3.6*1000000</f>
        <v>0</v>
      </c>
      <c r="O7" s="33"/>
      <c r="P7" s="33"/>
      <c r="R7" s="32"/>
    </row>
    <row r="8" spans="1:18">
      <c r="A8" s="6" t="s">
        <v>51</v>
      </c>
      <c r="B8" s="37">
        <f t="shared" si="0"/>
        <v>4902.59413857238</v>
      </c>
      <c r="C8" s="33"/>
      <c r="D8" s="37">
        <f>IF(ISERROR(TER_handel_gas_kWh/1000),0,TER_handel_gas_kWh/1000)*0.902</f>
        <v>3369.2565373024477</v>
      </c>
      <c r="E8" s="33">
        <f>$C$28*'E Balans VL '!I13/100/3.6*1000000</f>
        <v>25.169420211090198</v>
      </c>
      <c r="F8" s="33">
        <f>$C$28*('E Balans VL '!L13+'E Balans VL '!N13)/100/3.6*1000000</f>
        <v>755.90426331204992</v>
      </c>
      <c r="G8" s="34"/>
      <c r="H8" s="33"/>
      <c r="I8" s="33"/>
      <c r="J8" s="33">
        <f>$C$28*('E Balans VL '!D13+'E Balans VL '!E13)/100/3.6*1000000</f>
        <v>0</v>
      </c>
      <c r="K8" s="33"/>
      <c r="L8" s="33"/>
      <c r="M8" s="33"/>
      <c r="N8" s="33">
        <f>$C$28*'E Balans VL '!Y13/100/3.6*1000000</f>
        <v>2.2930031228270193</v>
      </c>
      <c r="O8" s="33"/>
      <c r="P8" s="33"/>
      <c r="R8" s="32"/>
    </row>
    <row r="9" spans="1:18">
      <c r="A9" s="32" t="s">
        <v>50</v>
      </c>
      <c r="B9" s="37">
        <f t="shared" si="0"/>
        <v>140.021214441344</v>
      </c>
      <c r="C9" s="33"/>
      <c r="D9" s="37">
        <f>IF(ISERROR(TER_gezond_gas_kWh/1000),0,TER_gezond_gas_kWh/1000)*0.902</f>
        <v>173.64881083901963</v>
      </c>
      <c r="E9" s="33">
        <f>$C$29*'E Balans VL '!I10/100/3.6*1000000</f>
        <v>5.8037796190587097E-2</v>
      </c>
      <c r="F9" s="33">
        <f>$C$29*('E Balans VL '!L10+'E Balans VL '!N10)/100/3.6*1000000</f>
        <v>34.485216944812791</v>
      </c>
      <c r="G9" s="34"/>
      <c r="H9" s="33"/>
      <c r="I9" s="33"/>
      <c r="J9" s="33">
        <f>$C$29*('E Balans VL '!D10+'E Balans VL '!E10)/100/3.6*1000000</f>
        <v>0</v>
      </c>
      <c r="K9" s="33"/>
      <c r="L9" s="33"/>
      <c r="M9" s="33"/>
      <c r="N9" s="33">
        <f>$C$29*'E Balans VL '!Y10/100/3.6*1000000</f>
        <v>1.210129862798107</v>
      </c>
      <c r="O9" s="33"/>
      <c r="P9" s="33"/>
      <c r="R9" s="32"/>
    </row>
    <row r="10" spans="1:18">
      <c r="A10" s="32" t="s">
        <v>49</v>
      </c>
      <c r="B10" s="37">
        <f t="shared" si="0"/>
        <v>1663.3660369106001</v>
      </c>
      <c r="C10" s="33"/>
      <c r="D10" s="37">
        <f>IF(ISERROR(TER_ander_gas_kWh/1000),0,TER_ander_gas_kWh/1000)*0.902</f>
        <v>945.04937705131363</v>
      </c>
      <c r="E10" s="33">
        <f>$C$30*'E Balans VL '!I14/100/3.6*1000000</f>
        <v>10.139920400733999</v>
      </c>
      <c r="F10" s="33">
        <f>$C$30*('E Balans VL '!L14+'E Balans VL '!N14)/100/3.6*1000000</f>
        <v>440.98112191503077</v>
      </c>
      <c r="G10" s="34"/>
      <c r="H10" s="33"/>
      <c r="I10" s="33"/>
      <c r="J10" s="33">
        <f>$C$30*('E Balans VL '!D14+'E Balans VL '!E14)/100/3.6*1000000</f>
        <v>0</v>
      </c>
      <c r="K10" s="33"/>
      <c r="L10" s="33"/>
      <c r="M10" s="33"/>
      <c r="N10" s="33">
        <f>$C$30*'E Balans VL '!Y14/100/3.6*1000000</f>
        <v>383.3699288133696</v>
      </c>
      <c r="O10" s="33"/>
      <c r="P10" s="33"/>
      <c r="R10" s="32"/>
    </row>
    <row r="11" spans="1:18">
      <c r="A11" s="32" t="s">
        <v>54</v>
      </c>
      <c r="B11" s="37">
        <f t="shared" si="0"/>
        <v>106.509494951086</v>
      </c>
      <c r="C11" s="33"/>
      <c r="D11" s="37">
        <f>IF(ISERROR(TER_onderwijs_gas_kWh/1000),0,TER_onderwijs_gas_kWh/1000)*0.902</f>
        <v>0</v>
      </c>
      <c r="E11" s="33">
        <f>$C$31*'E Balans VL '!I11/100/3.6*1000000</f>
        <v>8.1165781160719527E-2</v>
      </c>
      <c r="F11" s="33">
        <f>$C$31*('E Balans VL '!L11+'E Balans VL '!N11)/100/3.6*1000000</f>
        <v>77.076107509792493</v>
      </c>
      <c r="G11" s="34"/>
      <c r="H11" s="33"/>
      <c r="I11" s="33"/>
      <c r="J11" s="33">
        <f>$C$31*('E Balans VL '!D11+'E Balans VL '!E11)/100/3.6*1000000</f>
        <v>0</v>
      </c>
      <c r="K11" s="33"/>
      <c r="L11" s="33"/>
      <c r="M11" s="33"/>
      <c r="N11" s="33">
        <f>$C$31*'E Balans VL '!Y11/100/3.6*1000000</f>
        <v>0.31390893692629801</v>
      </c>
      <c r="O11" s="33"/>
      <c r="P11" s="33"/>
      <c r="R11" s="32"/>
    </row>
    <row r="12" spans="1:18">
      <c r="A12" s="32" t="s">
        <v>255</v>
      </c>
      <c r="B12" s="37">
        <f t="shared" si="0"/>
        <v>2283.4236217150301</v>
      </c>
      <c r="C12" s="33"/>
      <c r="D12" s="37">
        <f>IF(ISERROR(TER_rest_gas_kWh/1000),0,TER_rest_gas_kWh/1000)*0.902</f>
        <v>5649.0834637442458</v>
      </c>
      <c r="E12" s="33">
        <f>$C$32*'E Balans VL '!I8/100/3.6*1000000</f>
        <v>48.972708988583662</v>
      </c>
      <c r="F12" s="33">
        <f>$C$32*('E Balans VL '!L8+'E Balans VL '!N8)/100/3.6*1000000</f>
        <v>450.56002122605332</v>
      </c>
      <c r="G12" s="34"/>
      <c r="H12" s="33"/>
      <c r="I12" s="33"/>
      <c r="J12" s="33">
        <f>$C$32*('E Balans VL '!D8+'E Balans VL '!E8)/100/3.6*1000000</f>
        <v>0</v>
      </c>
      <c r="K12" s="33"/>
      <c r="L12" s="33"/>
      <c r="M12" s="33"/>
      <c r="N12" s="33">
        <f>$C$32*'E Balans VL '!Y8/100/3.6*1000000</f>
        <v>64.764115132623445</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15303.621628983468</v>
      </c>
      <c r="C16" s="21">
        <f ca="1">C5+C13+C14</f>
        <v>0</v>
      </c>
      <c r="D16" s="21">
        <f t="shared" ref="D16:N16" ca="1" si="1">MAX((D5+D13+D14),0)</f>
        <v>17148.527492886918</v>
      </c>
      <c r="E16" s="21">
        <f t="shared" si="1"/>
        <v>328.452405374053</v>
      </c>
      <c r="F16" s="21">
        <f t="shared" ca="1" si="1"/>
        <v>2728.4324124036148</v>
      </c>
      <c r="G16" s="21">
        <f t="shared" si="1"/>
        <v>0</v>
      </c>
      <c r="H16" s="21">
        <f t="shared" si="1"/>
        <v>0</v>
      </c>
      <c r="I16" s="21">
        <f t="shared" si="1"/>
        <v>0</v>
      </c>
      <c r="J16" s="21">
        <f t="shared" si="1"/>
        <v>0</v>
      </c>
      <c r="K16" s="21">
        <f t="shared" si="1"/>
        <v>0</v>
      </c>
      <c r="L16" s="21">
        <f t="shared" ca="1" si="1"/>
        <v>0</v>
      </c>
      <c r="M16" s="21">
        <f t="shared" si="1"/>
        <v>0</v>
      </c>
      <c r="N16" s="21">
        <f t="shared" ca="1" si="1"/>
        <v>490.28153531782971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0.21455529881641627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3283.4731115799191</v>
      </c>
      <c r="C20" s="23">
        <f t="shared" ref="C20:P20" ca="1" si="2">C16*C18</f>
        <v>0</v>
      </c>
      <c r="D20" s="23">
        <f t="shared" ca="1" si="2"/>
        <v>3464.0025535631576</v>
      </c>
      <c r="E20" s="23">
        <f t="shared" si="2"/>
        <v>74.55869601991003</v>
      </c>
      <c r="F20" s="23">
        <f t="shared" ca="1" si="2"/>
        <v>728.49145411176517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4958.8617762362292</v>
      </c>
      <c r="C26" s="39">
        <f>IF(ISERROR(B26*3.6/1000000/'E Balans VL '!Z12*100),0,B26*3.6/1000000/'E Balans VL '!Z12*100)</f>
        <v>0.10435102242764981</v>
      </c>
      <c r="D26" s="234" t="s">
        <v>706</v>
      </c>
      <c r="F26" s="6"/>
    </row>
    <row r="27" spans="1:18">
      <c r="A27" s="229" t="s">
        <v>52</v>
      </c>
      <c r="B27" s="33">
        <f>IF(ISERROR(TER_horeca_ele_kWh/1000),0,TER_horeca_ele_kWh/1000)</f>
        <v>1248.8453461567999</v>
      </c>
      <c r="C27" s="39">
        <f>IF(ISERROR(B27*3.6/1000000/'E Balans VL '!Z9*100),0,B27*3.6/1000000/'E Balans VL '!Z9*100)</f>
        <v>0.10573622623617117</v>
      </c>
      <c r="D27" s="234" t="s">
        <v>706</v>
      </c>
      <c r="F27" s="6"/>
    </row>
    <row r="28" spans="1:18">
      <c r="A28" s="169" t="s">
        <v>51</v>
      </c>
      <c r="B28" s="33">
        <f>IF(ISERROR(TER_handel_ele_kWh/1000),0,TER_handel_ele_kWh/1000)</f>
        <v>4902.59413857238</v>
      </c>
      <c r="C28" s="39">
        <f>IF(ISERROR(B28*3.6/1000000/'E Balans VL '!Z13*100),0,B28*3.6/1000000/'E Balans VL '!Z13*100)</f>
        <v>0.13572764080033736</v>
      </c>
      <c r="D28" s="234" t="s">
        <v>706</v>
      </c>
      <c r="F28" s="6"/>
    </row>
    <row r="29" spans="1:18">
      <c r="A29" s="229" t="s">
        <v>50</v>
      </c>
      <c r="B29" s="33">
        <f>IF(ISERROR(TER_gezond_ele_kWh/1000),0,TER_gezond_ele_kWh/1000)</f>
        <v>140.021214441344</v>
      </c>
      <c r="C29" s="39">
        <f>IF(ISERROR(B29*3.6/1000000/'E Balans VL '!Z10*100),0,B29*3.6/1000000/'E Balans VL '!Z10*100)</f>
        <v>1.820120556122853E-2</v>
      </c>
      <c r="D29" s="234" t="s">
        <v>706</v>
      </c>
      <c r="F29" s="6"/>
    </row>
    <row r="30" spans="1:18">
      <c r="A30" s="229" t="s">
        <v>49</v>
      </c>
      <c r="B30" s="33">
        <f>IF(ISERROR(TER_ander_ele_kWh/1000),0,TER_ander_ele_kWh/1000)</f>
        <v>1663.3660369106001</v>
      </c>
      <c r="C30" s="39">
        <f>IF(ISERROR(B30*3.6/1000000/'E Balans VL '!Z14*100),0,B30*3.6/1000000/'E Balans VL '!Z14*100)</f>
        <v>0.12892612209241627</v>
      </c>
      <c r="D30" s="234" t="s">
        <v>706</v>
      </c>
      <c r="F30" s="6"/>
    </row>
    <row r="31" spans="1:18">
      <c r="A31" s="229" t="s">
        <v>54</v>
      </c>
      <c r="B31" s="33">
        <f>IF(ISERROR(TER_onderwijs_ele_kWh/1000),0,TER_onderwijs_ele_kWh/1000)</f>
        <v>106.509494951086</v>
      </c>
      <c r="C31" s="39">
        <f>IF(ISERROR(B31*3.6/1000000/'E Balans VL '!Z11*100),0,B31*3.6/1000000/'E Balans VL '!Z11*100)</f>
        <v>2.0377081267529896E-2</v>
      </c>
      <c r="D31" s="234" t="s">
        <v>706</v>
      </c>
    </row>
    <row r="32" spans="1:18">
      <c r="A32" s="229" t="s">
        <v>255</v>
      </c>
      <c r="B32" s="33">
        <f>IF(ISERROR(TER_rest_ele_kWh/1000),0,TER_rest_ele_kWh/1000)</f>
        <v>2283.4236217150301</v>
      </c>
      <c r="C32" s="39">
        <f>IF(ISERROR(B32*3.6/1000000/'E Balans VL '!Z8*100),0,B32*3.6/1000000/'E Balans VL '!Z8*100)</f>
        <v>1.8828581237577018E-2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3729.1806113890207</v>
      </c>
      <c r="C5" s="17">
        <f>IF(ISERROR('Eigen informatie GS &amp; warmtenet'!B59),0,'Eigen informatie GS &amp; warmtenet'!B59)</f>
        <v>0</v>
      </c>
      <c r="D5" s="30">
        <f>SUM(D6:D15)</f>
        <v>2333.9974413883883</v>
      </c>
      <c r="E5" s="17">
        <f>SUM(E6:E15)</f>
        <v>51.934807500571367</v>
      </c>
      <c r="F5" s="17">
        <f>SUM(F6:F15)</f>
        <v>1189.0826111918116</v>
      </c>
      <c r="G5" s="18"/>
      <c r="H5" s="17"/>
      <c r="I5" s="17"/>
      <c r="J5" s="17">
        <f>SUM(J6:J15)</f>
        <v>14.45302373116778</v>
      </c>
      <c r="K5" s="17"/>
      <c r="L5" s="17"/>
      <c r="M5" s="17"/>
      <c r="N5" s="17">
        <f>SUM(N6:N15)</f>
        <v>99.475689117796449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792.58363257768701</v>
      </c>
      <c r="C9" s="33"/>
      <c r="D9" s="37">
        <f>IF( ISERROR(IND_andere_gas_kWh/1000),0,IND_andere_gas_kWh/1000)*0.902</f>
        <v>369.28884367605491</v>
      </c>
      <c r="E9" s="33">
        <f>C31*'E Balans VL '!I19/100/3.6*1000000</f>
        <v>13.312413055092742</v>
      </c>
      <c r="F9" s="33">
        <f>C31*'E Balans VL '!L19/100/3.6*1000000+C31*'E Balans VL '!N19/100/3.6*1000000</f>
        <v>619.59674175618238</v>
      </c>
      <c r="G9" s="34"/>
      <c r="H9" s="33"/>
      <c r="I9" s="33"/>
      <c r="J9" s="40">
        <f>C31*'E Balans VL '!D19/100/3.6*1000000+C31*'E Balans VL '!E19/100/3.6*1000000</f>
        <v>7.1484047217706306E-2</v>
      </c>
      <c r="K9" s="33"/>
      <c r="L9" s="33"/>
      <c r="M9" s="33"/>
      <c r="N9" s="33">
        <f>C31*'E Balans VL '!Y19/100/3.6*1000000</f>
        <v>58.743163058919563</v>
      </c>
      <c r="O9" s="33"/>
      <c r="P9" s="33"/>
      <c r="R9" s="32"/>
    </row>
    <row r="10" spans="1:18">
      <c r="A10" s="6" t="s">
        <v>40</v>
      </c>
      <c r="B10" s="37">
        <f t="shared" si="0"/>
        <v>633.929882651497</v>
      </c>
      <c r="C10" s="33"/>
      <c r="D10" s="37">
        <f>IF( ISERROR(IND_voed_gas_kWh/1000),0,IND_voed_gas_kWh/1000)*0.902</f>
        <v>670.46328563765724</v>
      </c>
      <c r="E10" s="33">
        <f>C32*'E Balans VL '!I20/100/3.6*1000000</f>
        <v>5.7837128197621883</v>
      </c>
      <c r="F10" s="33">
        <f>C32*'E Balans VL '!L20/100/3.6*1000000+C32*'E Balans VL '!N20/100/3.6*1000000</f>
        <v>102.27271823803112</v>
      </c>
      <c r="G10" s="34"/>
      <c r="H10" s="33"/>
      <c r="I10" s="33"/>
      <c r="J10" s="40">
        <f>C32*'E Balans VL '!D20/100/3.6*1000000+C32*'E Balans VL '!E20/100/3.6*1000000</f>
        <v>2.6109388813082708</v>
      </c>
      <c r="K10" s="33"/>
      <c r="L10" s="33"/>
      <c r="M10" s="33"/>
      <c r="N10" s="33">
        <f>C32*'E Balans VL '!Y20/100/3.6*1000000</f>
        <v>9.2738943154496081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554.56297016196697</v>
      </c>
      <c r="C13" s="33"/>
      <c r="D13" s="37">
        <f>IF( ISERROR(IND_papier_gas_kWh/1000),0,IND_papier_gas_kWh/1000)*0.902</f>
        <v>0</v>
      </c>
      <c r="E13" s="33">
        <f>C35*'E Balans VL '!I23/100/3.6*1000000</f>
        <v>17.062455311430021</v>
      </c>
      <c r="F13" s="33">
        <f>C35*'E Balans VL '!L23/100/3.6*1000000+C35*'E Balans VL '!N23/100/3.6*1000000</f>
        <v>117.753099396127</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1748.1041259978699</v>
      </c>
      <c r="C15" s="33"/>
      <c r="D15" s="37">
        <f>IF( ISERROR(IND_rest_gas_kWh/1000),0,IND_rest_gas_kWh/1000)*0.902</f>
        <v>1294.2453120746761</v>
      </c>
      <c r="E15" s="33">
        <f>C37*'E Balans VL '!I15/100/3.6*1000000</f>
        <v>15.776226314286417</v>
      </c>
      <c r="F15" s="33">
        <f>C37*'E Balans VL '!L15/100/3.6*1000000+C37*'E Balans VL '!N15/100/3.6*1000000</f>
        <v>349.46005180147108</v>
      </c>
      <c r="G15" s="34"/>
      <c r="H15" s="33"/>
      <c r="I15" s="33"/>
      <c r="J15" s="40">
        <f>C37*'E Balans VL '!D15/100/3.6*1000000+C37*'E Balans VL '!E15/100/3.6*1000000</f>
        <v>11.770600802641804</v>
      </c>
      <c r="K15" s="33"/>
      <c r="L15" s="33"/>
      <c r="M15" s="33"/>
      <c r="N15" s="33">
        <f>C37*'E Balans VL '!Y15/100/3.6*1000000</f>
        <v>31.458631743427279</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3729.1806113890207</v>
      </c>
      <c r="C18" s="21">
        <f>C5+C16</f>
        <v>0</v>
      </c>
      <c r="D18" s="21">
        <f>MAX((D5+D16),0)</f>
        <v>2333.9974413883883</v>
      </c>
      <c r="E18" s="21">
        <f>MAX((E5+E16),0)</f>
        <v>51.934807500571367</v>
      </c>
      <c r="F18" s="21">
        <f>MAX((F5+F16),0)</f>
        <v>1189.0826111918116</v>
      </c>
      <c r="G18" s="21"/>
      <c r="H18" s="21"/>
      <c r="I18" s="21"/>
      <c r="J18" s="21">
        <f>MAX((J5+J16),0)</f>
        <v>14.45302373116778</v>
      </c>
      <c r="K18" s="21"/>
      <c r="L18" s="21">
        <f>MAX((L5+L16),0)</f>
        <v>0</v>
      </c>
      <c r="M18" s="21"/>
      <c r="N18" s="21">
        <f>MAX((N5+N16),0)</f>
        <v>99.475689117796449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0.21455529881641627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800.11546041695726</v>
      </c>
      <c r="C22" s="23">
        <f ca="1">C18*C20</f>
        <v>0</v>
      </c>
      <c r="D22" s="23">
        <f>D18*D20</f>
        <v>471.46748316045449</v>
      </c>
      <c r="E22" s="23">
        <f>E18*E20</f>
        <v>11.789201302629701</v>
      </c>
      <c r="F22" s="23">
        <f>F18*F20</f>
        <v>317.48505718821372</v>
      </c>
      <c r="G22" s="23"/>
      <c r="H22" s="23"/>
      <c r="I22" s="23"/>
      <c r="J22" s="23">
        <f>J18*J20</f>
        <v>5.1163704008333939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792.58363257768701</v>
      </c>
      <c r="C31" s="39">
        <f>IF(ISERROR(B31*3.6/1000000/'E Balans VL '!Z19*100),0,B31*3.6/1000000/'E Balans VL '!Z19*100)</f>
        <v>3.5132091465357368E-2</v>
      </c>
      <c r="D31" s="234" t="s">
        <v>706</v>
      </c>
    </row>
    <row r="32" spans="1:18">
      <c r="A32" s="169" t="s">
        <v>40</v>
      </c>
      <c r="B32" s="37">
        <f>IF( ISERROR(IND_voed_ele_kWh/1000),0,IND_voed_ele_kWh/1000)</f>
        <v>633.929882651497</v>
      </c>
      <c r="C32" s="39">
        <f>IF(ISERROR(B32*3.6/1000000/'E Balans VL '!Z20*100),0,B32*3.6/1000000/'E Balans VL '!Z20*100)</f>
        <v>2.1175076590032205E-2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554.56297016196697</v>
      </c>
      <c r="C35" s="39">
        <f>IF(ISERROR(B35*3.6/1000000/'E Balans VL '!Z22*100),0,B35*3.6/1000000/'E Balans VL '!Z22*100)</f>
        <v>0.10785640616853874</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1748.1041259978699</v>
      </c>
      <c r="C37" s="39">
        <f>IF(ISERROR(B37*3.6/1000000/'E Balans VL '!Z15*100),0,B37*3.6/1000000/'E Balans VL '!Z15*100)</f>
        <v>1.3003046792195241E-2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2795.7055088050138</v>
      </c>
      <c r="C5" s="17">
        <f>'Eigen informatie GS &amp; warmtenet'!B60</f>
        <v>0</v>
      </c>
      <c r="D5" s="30">
        <f>IF(ISERROR(SUM(LB_lb_gas_kWh,LB_rest_gas_kWh)/1000),0,SUM(LB_lb_gas_kWh,LB_rest_gas_kWh)/1000)*0.902</f>
        <v>194.46584568632915</v>
      </c>
      <c r="E5" s="17">
        <f>B17*'E Balans VL '!I25/3.6*1000000/100</f>
        <v>29.27723333376699</v>
      </c>
      <c r="F5" s="17">
        <f>B17*('E Balans VL '!L25/3.6*1000000+'E Balans VL '!N25/3.6*1000000)/100</f>
        <v>11967.743862717973</v>
      </c>
      <c r="G5" s="18"/>
      <c r="H5" s="17"/>
      <c r="I5" s="17"/>
      <c r="J5" s="17">
        <f>('E Balans VL '!D25+'E Balans VL '!E25)/3.6*1000000*landbouw!B17/100</f>
        <v>249.68156027224984</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2795.7055088050138</v>
      </c>
      <c r="C8" s="21">
        <f>C5+C6</f>
        <v>0</v>
      </c>
      <c r="D8" s="21">
        <f>MAX((D5+D6),0)</f>
        <v>194.46584568632915</v>
      </c>
      <c r="E8" s="21">
        <f>MAX((E5+E6),0)</f>
        <v>29.27723333376699</v>
      </c>
      <c r="F8" s="21">
        <f>MAX((F5+F6),0)</f>
        <v>11967.743862717973</v>
      </c>
      <c r="G8" s="21"/>
      <c r="H8" s="21"/>
      <c r="I8" s="21"/>
      <c r="J8" s="21">
        <f>MAX((J5+J6),0)</f>
        <v>249.68156027224984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0.21455529881641627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599.83343084436081</v>
      </c>
      <c r="C12" s="23">
        <f ca="1">C8*C10</f>
        <v>0</v>
      </c>
      <c r="D12" s="23">
        <f>D8*D10</f>
        <v>39.282100828638491</v>
      </c>
      <c r="E12" s="23">
        <f>E8*E10</f>
        <v>6.6459319667651071</v>
      </c>
      <c r="F12" s="23">
        <f>F8*F10</f>
        <v>3195.387611345699</v>
      </c>
      <c r="G12" s="23"/>
      <c r="H12" s="23"/>
      <c r="I12" s="23"/>
      <c r="J12" s="23">
        <f>J8*J10</f>
        <v>88.387272336376441</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0.43031304489444533</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271.37960152610123</v>
      </c>
      <c r="C26" s="244">
        <f>B26*'GWP N2O_CH4'!B5</f>
        <v>5698.9716320481257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54.395110207265191</v>
      </c>
      <c r="C27" s="244">
        <f>B27*'GWP N2O_CH4'!B5</f>
        <v>1142.2973143525689</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3.9322369105771937</v>
      </c>
      <c r="C28" s="244">
        <f>B28*'GWP N2O_CH4'!B4</f>
        <v>1218.9934422789302</v>
      </c>
      <c r="D28" s="50"/>
    </row>
    <row r="29" spans="1:4">
      <c r="A29" s="41" t="s">
        <v>272</v>
      </c>
      <c r="B29" s="244">
        <f>B34*'ha_N2O bodem landbouw'!B4</f>
        <v>19.838522516608478</v>
      </c>
      <c r="C29" s="244">
        <f>B29*'GWP N2O_CH4'!B4</f>
        <v>6149.9419801486283</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3.2785763990079517E-3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3.2597199898435951E-6</v>
      </c>
      <c r="C5" s="435" t="s">
        <v>210</v>
      </c>
      <c r="D5" s="420">
        <f>SUM(D6:D11)</f>
        <v>1.4521322664918759E-5</v>
      </c>
      <c r="E5" s="420">
        <f>SUM(E6:E11)</f>
        <v>1.4508502149860149E-3</v>
      </c>
      <c r="F5" s="433" t="s">
        <v>210</v>
      </c>
      <c r="G5" s="420">
        <f>SUM(G6:G11)</f>
        <v>0.21791422704518018</v>
      </c>
      <c r="H5" s="420">
        <f>SUM(H6:H11)</f>
        <v>4.6427949851137865E-2</v>
      </c>
      <c r="I5" s="435" t="s">
        <v>210</v>
      </c>
      <c r="J5" s="435" t="s">
        <v>210</v>
      </c>
      <c r="K5" s="435" t="s">
        <v>210</v>
      </c>
      <c r="L5" s="435" t="s">
        <v>210</v>
      </c>
      <c r="M5" s="420">
        <f>SUM(M6:M11)</f>
        <v>1.1524415217259446E-2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1.2261975722008219E-6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3.8824124706285967E-6</v>
      </c>
      <c r="E6" s="423">
        <f>vkm_GW_PW*SUMIFS(TableVerdeelsleutelVkm[LPG],TableVerdeelsleutelVkm[Voertuigtype],"Lichte voertuigen")*SUMIFS(TableECFTransport[EnergieConsumptieFactor (PJ per km)],TableECFTransport[Index],CONCATENATE($A6,"_LPG_LPG"))</f>
        <v>4.0458113945777757E-4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5.3890308634803714E-2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1.2928168678439274E-2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2.9165700670921359E-3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1.8032013419006096E-8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8.1284198566460696E-3</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2.2007681578592194E-7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3.5017570752877346E-4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1.9771425410870832E-6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1.0638910194290162E-5</v>
      </c>
      <c r="E8" s="423">
        <f>vkm_NGW_PW*SUMIFS(TableVerdeelsleutelVkm[LPG],TableVerdeelsleutelVkm[Voertuigtype],"Lichte voertuigen")*SUMIFS(TableECFTransport[EnergieConsumptieFactor (PJ per km)],TableECFTransport[Index],CONCATENATE($A8,"_LPG_LPG"))</f>
        <v>1.0462690755282374E-3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0.13195120153044959</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3.3498996174924939E-2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7.226143007064199E-3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3.8347863136684184E-8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2.3944297023280794E-2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5.649209578666247E-7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1.0315264355743377E-3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0.90547777495655424</v>
      </c>
      <c r="C14" s="21"/>
      <c r="D14" s="21">
        <f t="shared" ref="D14:M14" si="0">((D5)*10^9/3600)+D12</f>
        <v>4.0337007402552114</v>
      </c>
      <c r="E14" s="21">
        <f t="shared" si="0"/>
        <v>403.01394860722638</v>
      </c>
      <c r="F14" s="21"/>
      <c r="G14" s="21">
        <f t="shared" si="0"/>
        <v>60531.729734772271</v>
      </c>
      <c r="H14" s="21">
        <f t="shared" si="0"/>
        <v>12896.652736427184</v>
      </c>
      <c r="I14" s="21"/>
      <c r="J14" s="21"/>
      <c r="K14" s="21"/>
      <c r="L14" s="21"/>
      <c r="M14" s="21">
        <f t="shared" si="0"/>
        <v>3201.2264492387349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0.21455529881641627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0.19427505457742722</v>
      </c>
      <c r="C18" s="23"/>
      <c r="D18" s="23">
        <f t="shared" ref="D18:M18" si="1">D14*D16</f>
        <v>0.81480754953155277</v>
      </c>
      <c r="E18" s="23">
        <f t="shared" si="1"/>
        <v>91.484166333840392</v>
      </c>
      <c r="F18" s="23"/>
      <c r="G18" s="23">
        <f t="shared" si="1"/>
        <v>16161.971839184198</v>
      </c>
      <c r="H18" s="23">
        <f t="shared" si="1"/>
        <v>3211.2665313703687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2.7596273583951075E-5</v>
      </c>
      <c r="C50" s="315">
        <f t="shared" ref="C50:P50" si="2">SUM(C51:C52)</f>
        <v>0</v>
      </c>
      <c r="D50" s="315">
        <f t="shared" si="2"/>
        <v>0</v>
      </c>
      <c r="E50" s="315">
        <f t="shared" si="2"/>
        <v>0</v>
      </c>
      <c r="F50" s="315">
        <f t="shared" si="2"/>
        <v>0</v>
      </c>
      <c r="G50" s="315">
        <f t="shared" si="2"/>
        <v>5.9867344913602976E-3</v>
      </c>
      <c r="H50" s="315">
        <f t="shared" si="2"/>
        <v>0</v>
      </c>
      <c r="I50" s="315">
        <f t="shared" si="2"/>
        <v>0</v>
      </c>
      <c r="J50" s="315">
        <f t="shared" si="2"/>
        <v>0</v>
      </c>
      <c r="K50" s="315">
        <f t="shared" si="2"/>
        <v>0</v>
      </c>
      <c r="L50" s="315">
        <f t="shared" si="2"/>
        <v>0</v>
      </c>
      <c r="M50" s="315">
        <f t="shared" si="2"/>
        <v>2.5632897438200374E-4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2.7596273583951075E-5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5.9867344913602976E-3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2.5632897438200374E-4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7.6656315510975208</v>
      </c>
      <c r="C54" s="21">
        <f t="shared" ref="C54:P54" si="3">(C50)*10^9/3600</f>
        <v>0</v>
      </c>
      <c r="D54" s="21">
        <f t="shared" si="3"/>
        <v>0</v>
      </c>
      <c r="E54" s="21">
        <f t="shared" si="3"/>
        <v>0</v>
      </c>
      <c r="F54" s="21">
        <f t="shared" si="3"/>
        <v>0</v>
      </c>
      <c r="G54" s="21">
        <f t="shared" si="3"/>
        <v>1662.9818031556381</v>
      </c>
      <c r="H54" s="21">
        <f t="shared" si="3"/>
        <v>0</v>
      </c>
      <c r="I54" s="21">
        <f t="shared" si="3"/>
        <v>0</v>
      </c>
      <c r="J54" s="21">
        <f t="shared" si="3"/>
        <v>0</v>
      </c>
      <c r="K54" s="21">
        <f t="shared" si="3"/>
        <v>0</v>
      </c>
      <c r="L54" s="21">
        <f t="shared" si="3"/>
        <v>0</v>
      </c>
      <c r="M54" s="21">
        <f t="shared" si="3"/>
        <v>71.202492883889931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0.21455529881641627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1.6447018680622771</v>
      </c>
      <c r="C58" s="23">
        <f t="shared" ref="C58:P58" ca="1" si="4">C54*C56</f>
        <v>0</v>
      </c>
      <c r="D58" s="23">
        <f t="shared" si="4"/>
        <v>0</v>
      </c>
      <c r="E58" s="23">
        <f t="shared" si="4"/>
        <v>0</v>
      </c>
      <c r="F58" s="23">
        <f t="shared" si="4"/>
        <v>0</v>
      </c>
      <c r="G58" s="23">
        <f t="shared" si="4"/>
        <v>444.01614144255541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1665.8824422292732</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1665.8824422292732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2021-06-29T16:55:07Z</dcterms:modified>
</cp:coreProperties>
</file>