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<sst xmlns="http://schemas.openxmlformats.org/spreadsheetml/2006/main" count="2581" uniqueCount="983">
  <si>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</si>
  <si>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</si>
  <si>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</si>
  <si>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</si>
  <si>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</si>
  <si>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</si>
  <si>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</si>
  <si>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</si>
  <si>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</si>
  <si>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</si>
  <si>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</si>
  <si>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</si>
  <si>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</si>
  <si>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</si>
  <si>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</si>
  <si>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</si>
  <si>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</si>
  <si>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</si>
  <si>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</si>
  <si>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</si>
  <si>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</si>
  <si>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</si>
  <si>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</si>
  <si>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</si>
  <si>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</si>
  <si>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</si>
  <si>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</si>
  <si>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</si>
  <si>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</si>
  <si>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</si>
  <si>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</si>
  <si>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</si>
  <si>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</si>
  <si>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</si>
  <si>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</si>
  <si>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</si>
  <si>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</si>
  <si>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</si>
  <si>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</si>
  <si>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</si>
  <si>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</si>
  <si>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</si>
  <si>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</si>
  <si>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</si>
  <si>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</si>
  <si>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</si>
  <si>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</si>
  <si>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</si>
  <si>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</si>
  <si>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</si>
  <si>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</si>
  <si>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</si>
  <si>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</si>
  <si>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</si>
  <si>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</si>
  <si>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</si>
  <si>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</si>
  <si>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</si>
  <si>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</si>
  <si>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</si>
  <si>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</si>
  <si>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</si>
  <si>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</si>
  <si>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</si>
  <si>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</si>
  <si>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</si>
  <si>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</si>
  <si>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</si>
  <si>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</si>
  <si>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</si>
  <si>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</si>
  <si>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</si>
  <si>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</si>
  <si>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</si>
  <si>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</si>
  <si>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</si>
  <si>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</si>
  <si>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</si>
  <si>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</si>
  <si>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</si>
  <si>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</si>
  <si>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</si>
  <si>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</si>
  <si>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</si>
  <si>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</si>
  <si>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</si>
  <si>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</si>
  <si>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</si>
  <si>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</si>
  <si>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</si>
  <si>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</si>
  <si>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</si>
  <si>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</si>
  <si>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</si>
  <si>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</si>
  <si>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</si>
  <si>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</si>
  <si>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</si>
  <si>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</si>
  <si>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</si>
  <si>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</si>
  <si>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</si>
  <si>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</si>
  <si>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</si>
  <si>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</si>
  <si>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</si>
  <si>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</si>
  <si>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</si>
  <si>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</si>
  <si>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</si>
  <si>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</si>
  <si>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</si>
  <si>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</si>
  <si>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</si>
  <si>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</si>
  <si>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</si>
  <si>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</si>
  <si>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</si>
  <si>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</si>
  <si>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</si>
  <si>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</si>
  <si>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</si>
  <si>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</si>
  <si>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</si>
  <si>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</si>
  <si>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</si>
  <si>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</si>
  <si>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</si>
  <si>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</si>
  <si>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</si>
  <si>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</si>
  <si>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</si>
  <si>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</si>
  <si>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</si>
  <si>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</si>
  <si>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</si>
  <si>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</si>
  <si>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</si>
  <si>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</si>
  <si>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</si>
  <si>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</si>
  <si>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</si>
  <si>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</si>
  <si>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</si>
  <si>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</si>
  <si>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</si>
  <si>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</si>
  <si>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</si>
  <si>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</si>
  <si>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</si>
  <si>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</si>
  <si>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</si>
  <si>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</si>
  <si>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</si>
  <si>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</si>
  <si>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</si>
  <si>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</si>
  <si>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</si>
  <si>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</si>
  <si>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</si>
  <si>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</si>
  <si>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</si>
  <si>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</si>
  <si>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</si>
  <si>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</si>
  <si>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</si>
  <si>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</si>
  <si>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</si>
  <si>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</si>
  <si>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</si>
  <si>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</si>
  <si>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</si>
  <si>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</si>
  <si>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</si>
  <si>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</si>
  <si>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</si>
  <si>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</si>
  <si>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</si>
  <si>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</si>
  <si>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</si>
  <si>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</si>
  <si>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</si>
  <si>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</si>
  <si>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</si>
  <si>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</si>
  <si>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</si>
  <si>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</si>
  <si>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</si>
  <si>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</si>
  <si>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</si>
  <si>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</si>
  <si>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</si>
  <si>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</si>
  <si>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</si>
  <si>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</si>
  <si>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</si>
  <si>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</si>
  <si>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</si>
  <si>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</si>
  <si>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</si>
  <si>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</si>
  <si>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</si>
  <si>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</si>
  <si>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</si>
  <si>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</si>
  <si>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</si>
  <si>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</si>
  <si>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</si>
  <si>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</si>
  <si>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</si>
  <si>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</si>
  <si>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</si>
  <si>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</si>
  <si>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</si>
  <si>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</si>
  <si>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</si>
  <si>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</si>
  <si>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</si>
  <si>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</si>
  <si>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</si>
  <si>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</si>
  <si>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</si>
  <si>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</si>
  <si>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</si>
  <si>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</si>
  <si>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</si>
  <si>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</si>
  <si>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</si>
  <si>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</si>
  <si>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</si>
  <si>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</si>
  <si>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</si>
  <si>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</si>
  <si>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</si>
  <si>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</si>
  <si>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</si>
  <si>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</si>
  <si>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</si>
  <si>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</si>
  <si>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</si>
  <si>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</si>
  <si>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</si>
  <si>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</si>
  <si>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</si>
  <si>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</si>
  <si>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</si>
  <si>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</si>
  <si>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</si>
  <si>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</si>
  <si>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</si>
  <si>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</si>
  <si>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</si>
  <si>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</si>
  <si>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</si>
  <si>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</si>
  <si>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</si>
  <si>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</si>
  <si>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</si>
  <si>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</si>
  <si>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</si>
  <si>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</si>
  <si>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</si>
  <si>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</si>
  <si>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</si>
  <si>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</si>
  <si>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</si>
  <si>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</si>
  <si>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</si>
  <si>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</si>
  <si>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</si>
  <si>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</si>
  <si>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</si>
  <si>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</si>
  <si>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</si>
  <si>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</si>
  <si>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</si>
  <si>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</si>
  <si>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</si>
  <si>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</si>
  <si>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</si>
  <si>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</si>
  <si>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</si>
  <si>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</si>
  <si>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</si>
  <si>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</si>
  <si>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</si>
  <si>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</si>
  <si>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</si>
  <si>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</si>
  <si>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</si>
  <si>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</si>
  <si>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</si>
  <si>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</si>
  <si>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</si>
  <si>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</si>
  <si>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</si>
  <si>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</si>
  <si>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</si>
  <si>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</si>
  <si>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</si>
  <si>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</si>
  <si>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</si>
  <si>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</si>
  <si>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</si>
  <si>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</si>
  <si>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</si>
  <si>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</si>
  <si>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</si>
  <si>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</si>
  <si>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</si>
  <si>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</si>
  <si>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</si>
  <si>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</si>
  <si>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</si>
  <si>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</si>
  <si>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</si>
  <si>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</si>
  <si>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</si>
  <si>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</si>
  <si>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</si>
  <si>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</si>
  <si>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</si>
  <si>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</si>
  <si>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</si>
  <si>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</si>
  <si>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</si>
  <si>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</si>
  <si>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</si>
  <si>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</si>
  <si>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</si>
  <si>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</si>
  <si>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</si>
  <si>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</si>
  <si>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</si>
  <si>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</si>
  <si>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</si>
  <si>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</si>
  <si>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</si>
  <si>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</si>
  <si>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</si>
  <si>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</si>
  <si>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</si>
  <si>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</si>
  <si>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</si>
  <si>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</si>
  <si>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</si>
  <si>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</si>
  <si>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</si>
  <si>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</si>
  <si>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</si>
  <si>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</si>
  <si>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</si>
  <si>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</si>
  <si>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</si>
  <si>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</si>
  <si>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</si>
  <si>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</si>
  <si>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</si>
  <si>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</si>
  <si>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</si>
  <si>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</si>
  <si>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</si>
  <si>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</si>
  <si>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</si>
  <si>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</si>
  <si>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</si>
  <si>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</si>
  <si>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</si>
  <si>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</si>
  <si>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</si>
  <si>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</si>
  <si>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</si>
  <si>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</si>
  <si>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</si>
  <si>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</si>
  <si>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</si>
  <si>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</si>
  <si>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</si>
  <si>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</si>
  <si>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</si>
  <si>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</si>
  <si>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</si>
  <si>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</si>
  <si>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</si>
  <si>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</si>
  <si>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</si>
  <si>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</si>
  <si>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</si>
  <si>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</si>
  <si>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</si>
  <si>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</si>
  <si>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</si>
  <si>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</si>
  <si>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</si>
  <si>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</si>
  <si>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</si>
  <si>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</si>
  <si>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</si>
  <si>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</si>
  <si>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</si>
  <si>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</si>
  <si>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</si>
  <si>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</si>
  <si>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</si>
  <si>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</si>
  <si>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</si>
  <si>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</si>
  <si>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</si>
  <si>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</si>
  <si>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</si>
  <si>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</si>
  <si>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</si>
  <si>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</si>
  <si>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</si>
  <si>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</si>
  <si>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</si>
  <si>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</si>
  <si>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</si>
  <si>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</si>
  <si>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</si>
  <si>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</si>
  <si>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</si>
  <si>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</si>
  <si>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</si>
  <si>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</si>
  <si>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</si>
  <si>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</si>
  <si>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</si>
  <si>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</si>
  <si>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</si>
  <si>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</si>
  <si>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</si>
  <si>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</si>
  <si>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</si>
  <si>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</si>
  <si>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</si>
  <si>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</si>
  <si>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</si>
  <si>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</si>
  <si>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</si>
  <si>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</si>
  <si>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</si>
  <si>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</si>
  <si>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</si>
  <si>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</si>
  <si>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</si>
  <si>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</si>
  <si>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</si>
  <si>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</si>
  <si>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</si>
  <si>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</si>
  <si>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</si>
  <si>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</si>
  <si>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</si>
  <si>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</si>
  <si>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</si>
  <si>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</si>
  <si>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</si>
  <si>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</si>
  <si>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</si>
  <si>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</si>
  <si>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</si>
  <si>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</si>
  <si>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</si>
  <si>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</si>
  <si>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</si>
  <si>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</si>
  <si>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</si>
  <si>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</si>
  <si>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</si>
  <si>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</si>
  <si>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</si>
  <si>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</si>
  <si>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</si>
  <si>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</si>
  <si>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</si>
  <si>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</si>
  <si>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</si>
  <si>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</si>
  <si>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</si>
  <si>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</si>
  <si>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</si>
  <si>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</si>
  <si>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</si>
  <si>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</si>
  <si>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</si>
  <si>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</si>
  <si>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</si>
  <si>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</si>
  <si>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</si>
  <si>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</si>
  <si>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</si>
  <si>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</si>
  <si>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</si>
  <si>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</si>
  <si>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</si>
  <si>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</si>
  <si>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</si>
  <si>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</si>
  <si>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</si>
  <si>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</si>
  <si>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</si>
  <si>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</si>
  <si>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</si>
  <si>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</si>
  <si>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</si>
  <si>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</si>
  <si>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</si>
  <si>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</si>
  <si>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</si>
  <si>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</si>
  <si>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</si>
  <si>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</si>
  <si>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</si>
  <si>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</si>
  <si>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</si>
  <si>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</si>
  <si>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</si>
  <si>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</si>
  <si>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</si>
  <si>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</si>
  <si>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</si>
  <si>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</si>
  <si>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</si>
  <si>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</si>
  <si>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</si>
  <si>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</si>
  <si>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</si>
  <si>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</si>
  <si>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</si>
  <si>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</si>
  <si>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</si>
  <si>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</si>
  <si>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</si>
  <si>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</si>
  <si>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</si>
  <si>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</si>
  <si>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</si>
  <si>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</si>
  <si>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</si>
  <si>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</si>
  <si>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</si>
  <si>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</si>
  <si>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</si>
  <si>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</si>
  <si>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</si>
  <si>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</si>
  <si>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</si>
  <si>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</si>
  <si>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</si>
  <si>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</si>
  <si>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</si>
  <si>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</si>
  <si>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</si>
  <si>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</si>
  <si>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</si>
  <si>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</si>
  <si>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</si>
  <si>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</si>
  <si>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</si>
  <si>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</si>
  <si>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</si>
  <si>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</si>
  <si>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</si>
  <si>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</si>
  <si>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</si>
  <si>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</si>
  <si>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</si>
  <si>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</si>
  <si>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</si>
  <si>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</si>
  <si>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</si>
  <si>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</si>
  <si>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</si>
  <si>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</si>
  <si>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</si>
  <si>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</si>
  <si>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</si>
  <si>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</si>
  <si>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</si>
  <si>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</si>
  <si>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</si>
  <si>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</si>
  <si>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</si>
  <si>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</si>
  <si>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</si>
  <si>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</si>
  <si>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</si>
  <si>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</si>
  <si>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</si>
  <si>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</si>
  <si>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</si>
  <si>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</si>
  <si>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</si>
  <si>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</si>
  <si>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</si>
  <si>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</si>
  <si>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</si>
  <si>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</si>
  <si>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</si>
  <si>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</si>
  <si>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</si>
  <si>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</si>
  <si>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</si>
  <si>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</si>
  <si>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</si>
  <si>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</si>
  <si>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</si>
  <si>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</si>
  <si>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</si>
  <si>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</si>
  <si>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</si>
  <si>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</si>
  <si>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</si>
  <si>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</si>
  <si>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</si>
  <si>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</si>
  <si>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</si>
  <si>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</si>
  <si>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</si>
  <si>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</si>
  <si>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</si>
  <si>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</si>
  <si>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</si>
  <si>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</si>
  <si>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</si>
  <si>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</si>
  <si>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</si>
  <si>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</si>
  <si>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</si>
  <si>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</si>
  <si>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</si>
  <si>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</si>
  <si>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</si>
  <si>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</si>
  <si>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</si>
  <si>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</si>
  <si>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</si>
  <si>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</si>
  <si>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</si>
  <si>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</si>
  <si>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</si>
  <si>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</si>
  <si>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</si>
  <si>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</si>
  <si>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</si>
  <si>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</si>
  <si>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</si>
  <si>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</si>
  <si>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</si>
  <si>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</si>
  <si>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</si>
  <si>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</si>
  <si>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</si>
  <si>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</si>
  <si>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</si>
  <si>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</si>
  <si>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</si>
  <si>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</si>
  <si>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</si>
  <si>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</si>
  <si>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</si>
  <si>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</si>
  <si>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</si>
  <si>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</si>
  <si>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</si>
  <si>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</si>
  <si>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</si>
  <si>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</si>
  <si>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</si>
  <si>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</si>
  <si>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</si>
  <si>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</si>
  <si>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</si>
  <si>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</si>
  <si>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</si>
  <si>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</si>
  <si>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</si>
  <si>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</si>
  <si>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</si>
  <si>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</si>
  <si>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</si>
  <si>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</si>
  <si>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</si>
  <si>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</si>
  <si>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</si>
  <si>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</si>
  <si>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</si>
  <si>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</si>
  <si>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</si>
  <si>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</si>
  <si>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</si>
  <si>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</si>
  <si>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</si>
  <si>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</si>
  <si>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</si>
  <si>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</si>
  <si>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</si>
  <si>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</si>
  <si>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</si>
  <si>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</si>
  <si>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</si>
  <si>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</si>
  <si>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</si>
  <si>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</si>
  <si>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</si>
  <si>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</si>
  <si>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</si>
  <si>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</si>
  <si>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</si>
  <si>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</si>
  <si>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</si>
  <si>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</si>
  <si>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</si>
  <si>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</si>
  <si>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</si>
  <si>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</si>
  <si>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</si>
  <si>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</si>
  <si>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</si>
  <si>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</si>
  <si>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</si>
  <si>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</si>
  <si>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</si>
  <si>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</si>
  <si>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</si>
  <si>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</si>
  <si>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</si>
  <si>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</si>
  <si>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</si>
  <si>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</si>
  <si>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</si>
  <si>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</si>
  <si>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</si>
  <si>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</si>
  <si>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</si>
  <si>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</si>
  <si>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</si>
  <si>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</si>
  <si>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</si>
  <si>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</si>
  <si>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</si>
  <si>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</si>
  <si>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</si>
  <si>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</si>
  <si>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</si>
  <si>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</si>
  <si>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</si>
  <si>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</si>
  <si>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</si>
  <si>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</si>
  <si>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</si>
  <si>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</si>
  <si>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</si>
  <si>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</si>
  <si>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</si>
  <si>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</si>
  <si>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</si>
  <si>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</si>
  <si>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</si>
  <si>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</si>
  <si>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</si>
  <si>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</si>
  <si>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</si>
  <si>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</si>
  <si>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</si>
  <si>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</si>
  <si>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</si>
  <si>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</si>
  <si>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</si>
  <si>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</si>
  <si>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</si>
  <si>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</si>
  <si>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</si>
  <si>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</si>
  <si>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</si>
  <si>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</si>
  <si>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</si>
  <si>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</si>
  <si>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</si>
  <si>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</si>
  <si>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</si>
  <si>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</si>
  <si>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</si>
  <si>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</si>
  <si>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</si>
  <si>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</si>
  <si>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</si>
  <si>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</si>
  <si>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</si>
  <si>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</si>
  <si>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</si>
  <si>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</si>
  <si>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</si>
  <si>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</si>
  <si>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</si>
  <si>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</si>
  <si>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</si>
  <si>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</si>
  <si>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</si>
  <si>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</si>
  <si>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</si>
  <si>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</si>
  <si>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</si>
  <si>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</si>
  <si>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</si>
  <si>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</si>
  <si>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</si>
  <si>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</si>
  <si>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</si>
  <si>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</si>
  <si>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</si>
  <si>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</si>
  <si>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</si>
  <si>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</si>
  <si>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</si>
  <si>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</si>
  <si>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</si>
  <si>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</si>
  <si>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</si>
  <si>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</si>
  <si>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</si>
  <si>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</si>
  <si>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</si>
  <si>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</si>
  <si>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</si>
  <si>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</si>
  <si>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</si>
  <si>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</si>
  <si>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</si>
  <si>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</si>
  <si>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</si>
  <si>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</si>
  <si>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</si>
  <si>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</si>
  <si>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</si>
  <si>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</si>
  <si>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</si>
  <si>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</si>
  <si>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</si>
  <si>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</si>
  <si>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</si>
  <si>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</si>
  <si>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</si>
  <si>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</si>
  <si>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</si>
  <si>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</si>
  <si>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</si>
  <si>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</si>
  <si>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</si>
  <si>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</si>
  <si>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</si>
  <si>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</si>
  <si>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</si>
  <si>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</si>
  <si>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</si>
  <si>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</si>
  <si>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</si>
  <si>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</si>
  <si>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</si>
  <si>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</si>
  <si>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</si>
  <si>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</si>
  <si>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</si>
  <si>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</si>
  <si>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</si>
  <si>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</si>
  <si>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</si>
  <si>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</si>
  <si>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</si>
  <si>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</si>
  <si>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</si>
  <si>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</si>
  <si>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</si>
  <si>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</si>
  <si>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</si>
  <si>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</si>
  <si>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</si>
  <si>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</si>
  <si>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</si>
  <si>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</si>
  <si>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</si>
  <si>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</si>
  <si>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</si>
  <si>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</si>
  <si>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</si>
  <si>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</si>
  <si>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</si>
  <si>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</si>
  <si>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</si>
  <si>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</si>
  <si>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</si>
  <si>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</si>
  <si>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</si>
  <si>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</si>
  <si>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</si>
  <si>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</si>
  <si>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</si>
  <si>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</si>
  <si>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</si>
  <si>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</si>
  <si>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</si>
  <si>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</si>
  <si>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</si>
  <si>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</si>
  <si>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</si>
  <si>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</si>
  <si>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</si>
  <si>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</si>
  <si>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</si>
  <si>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</si>
  <si>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</si>
  <si>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</si>
  <si>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</si>
  <si>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</si>
  <si>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</si>
  <si>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</si>
  <si>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</si>
  <si>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</si>
  <si>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</si>
  <si>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</si>
  <si>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</si>
  <si>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</si>
  <si>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</si>
  <si>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</si>
  <si>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</si>
  <si>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</si>
  <si>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</si>
  <si>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</si>
  <si>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</si>
  <si>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</si>
  <si>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</si>
  <si>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</si>
  <si>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</si>
  <si>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</si>
  <si>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</si>
  <si>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</si>
  <si>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</si>
  <si>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</si>
  <si>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</si>
  <si>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</si>
  <si>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</si>
  <si>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</si>
  <si>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</si>
  <si>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</si>
  <si>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</si>
  <si>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</si>
  <si>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</si>
  <si>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</si>
  <si>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</si>
  <si>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</si>
  <si>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</si>
  <si>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</si>
  <si>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</si>
  <si>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</si>
  <si>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</si>
  <si>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</si>
  <si>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</si>
  <si>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</si>
  <si>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</si>
  <si>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</si>
  <si>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</si>
  <si>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</si>
  <si>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</si>
  <si>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</si>
  <si>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</si>
  <si>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</si>
  <si>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</si>
  <si>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</si>
  <si>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</si>
  <si>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</si>
  <si>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</si>
  <si>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</si>
  <si>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</si>
  <si>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</si>
  <si>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</si>
  <si>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23025</t>
  </si>
  <si>
    <t>GRIMBERGEN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</si>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</sst>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23025</v>
      </c>
      <c r="B6" s="386"/>
      <c r="C6" s="387"/>
    </row>
    <row r="7" spans="1:7" s="384" customFormat="1" ht="15.75" customHeight="1">
      <c r="A7" s="388" t="str">
        <f>txtMunicipality</f>
        <v>GRIMBERGEN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81823.463930843529</v>
      </c>
      <c r="D10" s="676">
        <f ca="1">tertiair!C16</f>
        <v>0</v>
      </c>
      <c r="E10" s="676">
        <f ca="1">tertiair!D16</f>
        <v>79057.803876826089</v>
      </c>
      <c r="F10" s="676">
        <f>tertiair!E16</f>
        <v>1700.3600515692578</v>
      </c>
      <c r="G10" s="676">
        <f ca="1">tertiair!F16</f>
        <v>13811.696677719578</v>
      </c>
      <c r="H10" s="676">
        <f>tertiair!G16</f>
        <v>0</v>
      </c>
      <c r="I10" s="676">
        <f>tertiair!H16</f>
        <v>0</v>
      </c>
      <c r="J10" s="676">
        <f>tertiair!I16</f>
        <v>0</v>
      </c>
      <c r="K10" s="676">
        <f>tertiair!J16</f>
        <v>0</v>
      </c>
      <c r="L10" s="676">
        <f>tertiair!K16</f>
        <v>0</v>
      </c>
      <c r="M10" s="676">
        <f ca="1">tertiair!L16</f>
        <v>0</v>
      </c>
      <c r="N10" s="676">
        <f>tertiair!M16</f>
        <v>0</v>
      </c>
      <c r="O10" s="676">
        <f ca="1">tertiair!N16</f>
        <v>2544.3202071275318</v>
      </c>
      <c r="P10" s="676">
        <f>tertiair!O16</f>
        <v>0</v>
      </c>
      <c r="Q10" s="677">
        <f>tertiair!P16</f>
        <v>38.133333333333333</v>
      </c>
      <c r="R10" s="679">
        <f ca="1">SUM(C10:Q10)</f>
        <v>178975.77807741935</v>
      </c>
      <c r="S10" s="67"/>
    </row>
    <row r="11" spans="1:19" s="445" customFormat="1">
      <c r="A11" s="791" t="s">
        <v>220</v>
      </c>
      <c r="B11" s="796"/>
      <c r="C11" s="676">
        <f>huishoudens!B8</f>
        <v>62132.839679430028</v>
      </c>
      <c r="D11" s="676">
        <f>huishoudens!C8</f>
        <v>0</v>
      </c>
      <c r="E11" s="676">
        <f>huishoudens!D8</f>
        <v>145683.25477556535</v>
      </c>
      <c r="F11" s="676">
        <f>huishoudens!E8</f>
        <v>2766.2575007656087</v>
      </c>
      <c r="G11" s="676">
        <f>huishoudens!F8</f>
        <v>94424.527977353646</v>
      </c>
      <c r="H11" s="676">
        <f>huishoudens!G8</f>
        <v>0</v>
      </c>
      <c r="I11" s="676">
        <f>huishoudens!H8</f>
        <v>0</v>
      </c>
      <c r="J11" s="676">
        <f>huishoudens!I8</f>
        <v>0</v>
      </c>
      <c r="K11" s="676">
        <f>huishoudens!J8</f>
        <v>2126.2009767544637</v>
      </c>
      <c r="L11" s="676">
        <f>huishoudens!K8</f>
        <v>0</v>
      </c>
      <c r="M11" s="676">
        <f>huishoudens!L8</f>
        <v>0</v>
      </c>
      <c r="N11" s="676">
        <f>huishoudens!M8</f>
        <v>0</v>
      </c>
      <c r="O11" s="676">
        <f>huishoudens!N8</f>
        <v>17852.474666026199</v>
      </c>
      <c r="P11" s="676">
        <f>huishoudens!O8</f>
        <v>109.43333333333334</v>
      </c>
      <c r="Q11" s="677">
        <f>huishoudens!P8</f>
        <v>266.93333333333334</v>
      </c>
      <c r="R11" s="679">
        <f>SUM(C11:Q11)</f>
        <v>325361.922242562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27751.809653309298</v>
      </c>
      <c r="D13" s="676">
        <f>industrie!C18</f>
        <v>0</v>
      </c>
      <c r="E13" s="676">
        <f>industrie!D18</f>
        <v>37353.740517115846</v>
      </c>
      <c r="F13" s="676">
        <f>industrie!E18</f>
        <v>261.01911971535793</v>
      </c>
      <c r="G13" s="676">
        <f>industrie!F18</f>
        <v>5878.3153260262434</v>
      </c>
      <c r="H13" s="676">
        <f>industrie!G18</f>
        <v>0</v>
      </c>
      <c r="I13" s="676">
        <f>industrie!H18</f>
        <v>0</v>
      </c>
      <c r="J13" s="676">
        <f>industrie!I18</f>
        <v>0</v>
      </c>
      <c r="K13" s="676">
        <f>industrie!J18</f>
        <v>178.55312227312854</v>
      </c>
      <c r="L13" s="676">
        <f>industrie!K18</f>
        <v>0</v>
      </c>
      <c r="M13" s="676">
        <f>industrie!L18</f>
        <v>0</v>
      </c>
      <c r="N13" s="676">
        <f>industrie!M18</f>
        <v>0</v>
      </c>
      <c r="O13" s="676">
        <f>industrie!N18</f>
        <v>526.65849684900229</v>
      </c>
      <c r="P13" s="676">
        <f>industrie!O18</f>
        <v>0</v>
      </c>
      <c r="Q13" s="677">
        <f>industrie!P18</f>
        <v>0</v>
      </c>
      <c r="R13" s="679">
        <f>SUM(C13:Q13)</f>
        <v>71950.096235288875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171708.11326358284</v>
      </c>
      <c r="D16" s="709">
        <f t="shared" ref="D16:R16" ca="1" si="0">SUM(D9:D15)</f>
        <v>0</v>
      </c>
      <c r="E16" s="709">
        <f t="shared" ca="1" si="0"/>
        <v>262094.79916950729</v>
      </c>
      <c r="F16" s="709">
        <f t="shared" si="0"/>
        <v>4727.6366720502247</v>
      </c>
      <c r="G16" s="709">
        <f t="shared" ca="1" si="0"/>
        <v>114114.53998109947</v>
      </c>
      <c r="H16" s="709">
        <f t="shared" si="0"/>
        <v>0</v>
      </c>
      <c r="I16" s="709">
        <f t="shared" si="0"/>
        <v>0</v>
      </c>
      <c r="J16" s="709">
        <f t="shared" si="0"/>
        <v>0</v>
      </c>
      <c r="K16" s="709">
        <f t="shared" si="0"/>
        <v>2304.754099027592</v>
      </c>
      <c r="L16" s="709">
        <f t="shared" si="0"/>
        <v>0</v>
      </c>
      <c r="M16" s="709">
        <f t="shared" ca="1" si="0"/>
        <v>0</v>
      </c>
      <c r="N16" s="709">
        <f t="shared" si="0"/>
        <v>0</v>
      </c>
      <c r="O16" s="709">
        <f t="shared" ca="1" si="0"/>
        <v>20923.453370002735</v>
      </c>
      <c r="P16" s="709">
        <f t="shared" si="0"/>
        <v>109.43333333333334</v>
      </c>
      <c r="Q16" s="709">
        <f t="shared" si="0"/>
        <v>305.06666666666666</v>
      </c>
      <c r="R16" s="709">
        <f t="shared" ca="1" si="0"/>
        <v>576287.79655527021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23.591084391958038</v>
      </c>
      <c r="D19" s="676">
        <f>transport!C54</f>
        <v>0</v>
      </c>
      <c r="E19" s="676">
        <f>transport!D54</f>
        <v>0</v>
      </c>
      <c r="F19" s="676">
        <f>transport!E54</f>
        <v>0</v>
      </c>
      <c r="G19" s="676">
        <f>transport!F54</f>
        <v>0</v>
      </c>
      <c r="H19" s="676">
        <f>transport!G54</f>
        <v>5117.8489076895776</v>
      </c>
      <c r="I19" s="676">
        <f>transport!H54</f>
        <v>0</v>
      </c>
      <c r="J19" s="676">
        <f>transport!I54</f>
        <v>0</v>
      </c>
      <c r="K19" s="676">
        <f>transport!J54</f>
        <v>0</v>
      </c>
      <c r="L19" s="676">
        <f>transport!K54</f>
        <v>0</v>
      </c>
      <c r="M19" s="676">
        <f>transport!L54</f>
        <v>0</v>
      </c>
      <c r="N19" s="676">
        <f>transport!M54</f>
        <v>219.126631295127</v>
      </c>
      <c r="O19" s="676">
        <f>transport!N54</f>
        <v>0</v>
      </c>
      <c r="P19" s="676">
        <f>transport!O54</f>
        <v>0</v>
      </c>
      <c r="Q19" s="677">
        <f>transport!P54</f>
        <v>0</v>
      </c>
      <c r="R19" s="679">
        <f>SUM(C19:Q19)</f>
        <v>5360.5666233766624</v>
      </c>
      <c r="S19" s="67"/>
    </row>
    <row r="20" spans="1:19" s="445" customFormat="1">
      <c r="A20" s="791" t="s">
        <v>302</v>
      </c>
      <c r="B20" s="796"/>
      <c r="C20" s="676">
        <f>transport!B14</f>
        <v>4.3425338633490469</v>
      </c>
      <c r="D20" s="676">
        <f>transport!C14</f>
        <v>0</v>
      </c>
      <c r="E20" s="676">
        <f>transport!D14</f>
        <v>14.380809462529822</v>
      </c>
      <c r="F20" s="676">
        <f>transport!E14</f>
        <v>1682.2467789175698</v>
      </c>
      <c r="G20" s="676">
        <f>transport!F14</f>
        <v>0</v>
      </c>
      <c r="H20" s="676">
        <f>transport!G14</f>
        <v>309202.42465557047</v>
      </c>
      <c r="I20" s="676">
        <f>transport!H14</f>
        <v>49086.761128354563</v>
      </c>
      <c r="J20" s="676">
        <f>transport!I14</f>
        <v>0</v>
      </c>
      <c r="K20" s="676">
        <f>transport!J14</f>
        <v>0</v>
      </c>
      <c r="L20" s="676">
        <f>transport!K14</f>
        <v>0</v>
      </c>
      <c r="M20" s="676">
        <f>transport!L14</f>
        <v>0</v>
      </c>
      <c r="N20" s="676">
        <f>transport!M14</f>
        <v>15579.407041696666</v>
      </c>
      <c r="O20" s="676">
        <f>transport!N14</f>
        <v>0</v>
      </c>
      <c r="P20" s="676">
        <f>transport!O14</f>
        <v>0</v>
      </c>
      <c r="Q20" s="677">
        <f>transport!P14</f>
        <v>0</v>
      </c>
      <c r="R20" s="679">
        <f>SUM(C20:Q20)</f>
        <v>375569.56294786517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27.933618255307085</v>
      </c>
      <c r="D22" s="794">
        <f t="shared" ref="D22:R22" si="1">SUM(D18:D21)</f>
        <v>0</v>
      </c>
      <c r="E22" s="794">
        <f t="shared" si="1"/>
        <v>14.380809462529822</v>
      </c>
      <c r="F22" s="794">
        <f t="shared" si="1"/>
        <v>1682.2467789175698</v>
      </c>
      <c r="G22" s="794">
        <f t="shared" si="1"/>
        <v>0</v>
      </c>
      <c r="H22" s="794">
        <f t="shared" si="1"/>
        <v>314320.27356326004</v>
      </c>
      <c r="I22" s="794">
        <f t="shared" si="1"/>
        <v>49086.761128354563</v>
      </c>
      <c r="J22" s="794">
        <f t="shared" si="1"/>
        <v>0</v>
      </c>
      <c r="K22" s="794">
        <f t="shared" si="1"/>
        <v>0</v>
      </c>
      <c r="L22" s="794">
        <f t="shared" si="1"/>
        <v>0</v>
      </c>
      <c r="M22" s="794">
        <f t="shared" si="1"/>
        <v>0</v>
      </c>
      <c r="N22" s="794">
        <f t="shared" si="1"/>
        <v>15798.533672991793</v>
      </c>
      <c r="O22" s="794">
        <f t="shared" si="1"/>
        <v>0</v>
      </c>
      <c r="P22" s="794">
        <f t="shared" si="1"/>
        <v>0</v>
      </c>
      <c r="Q22" s="794">
        <f t="shared" si="1"/>
        <v>0</v>
      </c>
      <c r="R22" s="794">
        <f t="shared" si="1"/>
        <v>380930.12957124185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671.528812370845</v>
      </c>
      <c r="D24" s="676">
        <f>+landbouw!C8</f>
        <v>0</v>
      </c>
      <c r="E24" s="676">
        <f>+landbouw!D8</f>
        <v>98.631054155564328</v>
      </c>
      <c r="F24" s="676">
        <f>+landbouw!E8</f>
        <v>7.0323951032068033</v>
      </c>
      <c r="G24" s="676">
        <f>+landbouw!F8</f>
        <v>2874.6535704773287</v>
      </c>
      <c r="H24" s="676">
        <f>+landbouw!G8</f>
        <v>0</v>
      </c>
      <c r="I24" s="676">
        <f>+landbouw!H8</f>
        <v>0</v>
      </c>
      <c r="J24" s="676">
        <f>+landbouw!I8</f>
        <v>0</v>
      </c>
      <c r="K24" s="676">
        <f>+landbouw!J8</f>
        <v>59.973541960144097</v>
      </c>
      <c r="L24" s="676">
        <f>+landbouw!K8</f>
        <v>0</v>
      </c>
      <c r="M24" s="676">
        <f>+landbouw!L8</f>
        <v>0</v>
      </c>
      <c r="N24" s="676">
        <f>+landbouw!M8</f>
        <v>0</v>
      </c>
      <c r="O24" s="676">
        <f>+landbouw!N8</f>
        <v>0</v>
      </c>
      <c r="P24" s="676">
        <f>+landbouw!O8</f>
        <v>0</v>
      </c>
      <c r="Q24" s="677">
        <f>+landbouw!P8</f>
        <v>0</v>
      </c>
      <c r="R24" s="679">
        <f>SUM(C24:Q24)</f>
        <v>3711.819374067089</v>
      </c>
      <c r="S24" s="67"/>
    </row>
    <row r="25" spans="1:19" s="445" customFormat="1" ht="15" thickBot="1">
      <c r="A25" s="813" t="s">
        <v>895</v>
      </c>
      <c r="B25" s="968"/>
      <c r="C25" s="969">
        <f>IF(Onbekend_ele_kWh="---",0,Onbekend_ele_kWh)/1000+IF(REST_rest_ele_kWh="---",0,REST_rest_ele_kWh)/1000</f>
        <v>3361.4779840566998</v>
      </c>
      <c r="D25" s="969"/>
      <c r="E25" s="969">
        <f>IF(onbekend_gas_kWh="---",0,onbekend_gas_kWh)/1000+IF(REST_rest_gas_kWh="---",0,REST_rest_gas_kWh)/1000</f>
        <v>8317.8721223346893</v>
      </c>
      <c r="F25" s="969"/>
      <c r="G25" s="969"/>
      <c r="H25" s="969"/>
      <c r="I25" s="969"/>
      <c r="J25" s="969"/>
      <c r="K25" s="969"/>
      <c r="L25" s="969"/>
      <c r="M25" s="969"/>
      <c r="N25" s="969"/>
      <c r="O25" s="969"/>
      <c r="P25" s="969"/>
      <c r="Q25" s="970"/>
      <c r="R25" s="679">
        <f>SUM(C25:Q25)</f>
        <v>11679.35010639139</v>
      </c>
      <c r="S25" s="67"/>
    </row>
    <row r="26" spans="1:19" s="445" customFormat="1" ht="15.75" thickBot="1">
      <c r="A26" s="682" t="s">
        <v>896</v>
      </c>
      <c r="B26" s="799"/>
      <c r="C26" s="794">
        <f>SUM(C24:C25)</f>
        <v>4033.0067964275449</v>
      </c>
      <c r="D26" s="794">
        <f t="shared" ref="D26:R26" si="2">SUM(D24:D25)</f>
        <v>0</v>
      </c>
      <c r="E26" s="794">
        <f t="shared" si="2"/>
        <v>8416.5031764902542</v>
      </c>
      <c r="F26" s="794">
        <f t="shared" si="2"/>
        <v>7.0323951032068033</v>
      </c>
      <c r="G26" s="794">
        <f t="shared" si="2"/>
        <v>2874.6535704773287</v>
      </c>
      <c r="H26" s="794">
        <f t="shared" si="2"/>
        <v>0</v>
      </c>
      <c r="I26" s="794">
        <f t="shared" si="2"/>
        <v>0</v>
      </c>
      <c r="J26" s="794">
        <f t="shared" si="2"/>
        <v>0</v>
      </c>
      <c r="K26" s="794">
        <f t="shared" si="2"/>
        <v>59.973541960144097</v>
      </c>
      <c r="L26" s="794">
        <f t="shared" si="2"/>
        <v>0</v>
      </c>
      <c r="M26" s="794">
        <f t="shared" si="2"/>
        <v>0</v>
      </c>
      <c r="N26" s="794">
        <f t="shared" si="2"/>
        <v>0</v>
      </c>
      <c r="O26" s="794">
        <f t="shared" si="2"/>
        <v>0</v>
      </c>
      <c r="P26" s="794">
        <f t="shared" si="2"/>
        <v>0</v>
      </c>
      <c r="Q26" s="794">
        <f t="shared" si="2"/>
        <v>0</v>
      </c>
      <c r="R26" s="794">
        <f t="shared" si="2"/>
        <v>15391.169480458479</v>
      </c>
      <c r="S26" s="67"/>
    </row>
    <row r="27" spans="1:19" s="445" customFormat="1" ht="17.25" thickTop="1" thickBot="1">
      <c r="A27" s="683" t="s">
        <v>115</v>
      </c>
      <c r="B27" s="786"/>
      <c r="C27" s="684">
        <f ca="1">C22+C16+C26</f>
        <v>175769.05367826569</v>
      </c>
      <c r="D27" s="684">
        <f t="shared" ref="D27:R27" ca="1" si="3">D22+D16+D26</f>
        <v>0</v>
      </c>
      <c r="E27" s="684">
        <f t="shared" ca="1" si="3"/>
        <v>270525.68315546011</v>
      </c>
      <c r="F27" s="684">
        <f t="shared" si="3"/>
        <v>6416.9158460710014</v>
      </c>
      <c r="G27" s="684">
        <f t="shared" ca="1" si="3"/>
        <v>116989.1935515768</v>
      </c>
      <c r="H27" s="684">
        <f t="shared" si="3"/>
        <v>314320.27356326004</v>
      </c>
      <c r="I27" s="684">
        <f t="shared" si="3"/>
        <v>49086.761128354563</v>
      </c>
      <c r="J27" s="684">
        <f t="shared" si="3"/>
        <v>0</v>
      </c>
      <c r="K27" s="684">
        <f t="shared" si="3"/>
        <v>2364.7276409877363</v>
      </c>
      <c r="L27" s="684">
        <f t="shared" si="3"/>
        <v>0</v>
      </c>
      <c r="M27" s="684">
        <f t="shared" ca="1" si="3"/>
        <v>0</v>
      </c>
      <c r="N27" s="684">
        <f t="shared" si="3"/>
        <v>15798.533672991793</v>
      </c>
      <c r="O27" s="684">
        <f t="shared" ca="1" si="3"/>
        <v>20923.453370002735</v>
      </c>
      <c r="P27" s="684">
        <f t="shared" si="3"/>
        <v>109.43333333333334</v>
      </c>
      <c r="Q27" s="684">
        <f t="shared" si="3"/>
        <v>305.06666666666666</v>
      </c>
      <c r="R27" s="684">
        <f t="shared" ca="1" si="3"/>
        <v>972609.09560697048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17675.382546357632</v>
      </c>
      <c r="D40" s="676">
        <f ca="1">tertiair!C20</f>
        <v>0</v>
      </c>
      <c r="E40" s="676">
        <f ca="1">tertiair!D20</f>
        <v>15969.676383118871</v>
      </c>
      <c r="F40" s="676">
        <f>tertiair!E20</f>
        <v>385.98173170622152</v>
      </c>
      <c r="G40" s="676">
        <f ca="1">tertiair!F20</f>
        <v>3687.7230129511272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37718.76367413385</v>
      </c>
    </row>
    <row r="41" spans="1:18">
      <c r="A41" s="804" t="s">
        <v>220</v>
      </c>
      <c r="B41" s="811"/>
      <c r="C41" s="676">
        <f ca="1">huishoudens!B12</f>
        <v>13421.843286341942</v>
      </c>
      <c r="D41" s="676">
        <f ca="1">huishoudens!C12</f>
        <v>0</v>
      </c>
      <c r="E41" s="676">
        <f>huishoudens!D12</f>
        <v>29428.017464664204</v>
      </c>
      <c r="F41" s="676">
        <f>huishoudens!E12</f>
        <v>627.94045267379317</v>
      </c>
      <c r="G41" s="676">
        <f>huishoudens!F12</f>
        <v>25211.348969953426</v>
      </c>
      <c r="H41" s="676">
        <f>huishoudens!G12</f>
        <v>0</v>
      </c>
      <c r="I41" s="676">
        <f>huishoudens!H12</f>
        <v>0</v>
      </c>
      <c r="J41" s="676">
        <f>huishoudens!I12</f>
        <v>0</v>
      </c>
      <c r="K41" s="676">
        <f>huishoudens!J12</f>
        <v>752.67514577108011</v>
      </c>
      <c r="L41" s="676">
        <f>huishoudens!K12</f>
        <v>0</v>
      </c>
      <c r="M41" s="676">
        <f>huishoudens!L12</f>
        <v>0</v>
      </c>
      <c r="N41" s="676">
        <f>huishoudens!M12</f>
        <v>0</v>
      </c>
      <c r="O41" s="676">
        <f>huishoudens!N12</f>
        <v>0</v>
      </c>
      <c r="P41" s="676">
        <f>huishoudens!O12</f>
        <v>0</v>
      </c>
      <c r="Q41" s="751">
        <f>huishoudens!P12</f>
        <v>0</v>
      </c>
      <c r="R41" s="832">
        <f t="shared" ca="1" si="4"/>
        <v>69441.825319404437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5994.9044981831712</v>
      </c>
      <c r="D43" s="676">
        <f ca="1">industrie!C22</f>
        <v>0</v>
      </c>
      <c r="E43" s="676">
        <f>industrie!D22</f>
        <v>7545.4555844574015</v>
      </c>
      <c r="F43" s="676">
        <f>industrie!E22</f>
        <v>59.251340175386254</v>
      </c>
      <c r="G43" s="676">
        <f>industrie!F22</f>
        <v>1569.5101920490072</v>
      </c>
      <c r="H43" s="676">
        <f>industrie!G22</f>
        <v>0</v>
      </c>
      <c r="I43" s="676">
        <f>industrie!H22</f>
        <v>0</v>
      </c>
      <c r="J43" s="676">
        <f>industrie!I22</f>
        <v>0</v>
      </c>
      <c r="K43" s="676">
        <f>industrie!J22</f>
        <v>63.207805284687495</v>
      </c>
      <c r="L43" s="676">
        <f>industrie!K22</f>
        <v>0</v>
      </c>
      <c r="M43" s="676">
        <f>industrie!L22</f>
        <v>0</v>
      </c>
      <c r="N43" s="676">
        <f>industrie!M22</f>
        <v>0</v>
      </c>
      <c r="O43" s="676">
        <f>industrie!N22</f>
        <v>0</v>
      </c>
      <c r="P43" s="676">
        <f>industrie!O22</f>
        <v>0</v>
      </c>
      <c r="Q43" s="751">
        <f>industrie!P22</f>
        <v>0</v>
      </c>
      <c r="R43" s="831">
        <f t="shared" ca="1" si="4"/>
        <v>15232.329420149654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37092.130330882741</v>
      </c>
      <c r="D46" s="709">
        <f t="shared" ref="D46:Q46" ca="1" si="5">SUM(D39:D45)</f>
        <v>0</v>
      </c>
      <c r="E46" s="709">
        <f t="shared" ca="1" si="5"/>
        <v>52943.149432240476</v>
      </c>
      <c r="F46" s="709">
        <f t="shared" si="5"/>
        <v>1073.1735245554009</v>
      </c>
      <c r="G46" s="709">
        <f t="shared" ca="1" si="5"/>
        <v>30468.582174953561</v>
      </c>
      <c r="H46" s="709">
        <f t="shared" si="5"/>
        <v>0</v>
      </c>
      <c r="I46" s="709">
        <f t="shared" si="5"/>
        <v>0</v>
      </c>
      <c r="J46" s="709">
        <f t="shared" si="5"/>
        <v>0</v>
      </c>
      <c r="K46" s="709">
        <f t="shared" si="5"/>
        <v>815.88295105576765</v>
      </c>
      <c r="L46" s="709">
        <f t="shared" si="5"/>
        <v>0</v>
      </c>
      <c r="M46" s="709">
        <f t="shared" ca="1" si="5"/>
        <v>0</v>
      </c>
      <c r="N46" s="709">
        <f t="shared" si="5"/>
        <v>0</v>
      </c>
      <c r="O46" s="709">
        <f t="shared" ca="1" si="5"/>
        <v>0</v>
      </c>
      <c r="P46" s="709">
        <f t="shared" si="5"/>
        <v>0</v>
      </c>
      <c r="Q46" s="709">
        <f t="shared" si="5"/>
        <v>0</v>
      </c>
      <c r="R46" s="709">
        <f ca="1">SUM(R39:R45)</f>
        <v>122392.91841368793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5.0961108376405821</v>
      </c>
      <c r="D49" s="676">
        <f ca="1">transport!C58</f>
        <v>0</v>
      </c>
      <c r="E49" s="676">
        <f>transport!D58</f>
        <v>0</v>
      </c>
      <c r="F49" s="676">
        <f>transport!E58</f>
        <v>0</v>
      </c>
      <c r="G49" s="676">
        <f>transport!F58</f>
        <v>0</v>
      </c>
      <c r="H49" s="676">
        <f>transport!G58</f>
        <v>1366.4656583531173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1371.5617691907578</v>
      </c>
    </row>
    <row r="50" spans="1:18">
      <c r="A50" s="807" t="s">
        <v>302</v>
      </c>
      <c r="B50" s="817"/>
      <c r="C50" s="975">
        <f ca="1">transport!B18</f>
        <v>0.93806768337356339</v>
      </c>
      <c r="D50" s="975">
        <f>transport!C18</f>
        <v>0</v>
      </c>
      <c r="E50" s="975">
        <f>transport!D18</f>
        <v>2.9049235114310243</v>
      </c>
      <c r="F50" s="975">
        <f>transport!E18</f>
        <v>381.87001881428836</v>
      </c>
      <c r="G50" s="975">
        <f>transport!F18</f>
        <v>0</v>
      </c>
      <c r="H50" s="975">
        <f>transport!G18</f>
        <v>82557.047383037323</v>
      </c>
      <c r="I50" s="975">
        <f>transport!H18</f>
        <v>12222.603520960287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95165.363914006695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6.0341785210141454</v>
      </c>
      <c r="D52" s="709">
        <f t="shared" ref="D52:Q52" ca="1" si="6">SUM(D48:D51)</f>
        <v>0</v>
      </c>
      <c r="E52" s="709">
        <f t="shared" si="6"/>
        <v>2.9049235114310243</v>
      </c>
      <c r="F52" s="709">
        <f t="shared" si="6"/>
        <v>381.87001881428836</v>
      </c>
      <c r="G52" s="709">
        <f t="shared" si="6"/>
        <v>0</v>
      </c>
      <c r="H52" s="709">
        <f t="shared" si="6"/>
        <v>83923.513041390441</v>
      </c>
      <c r="I52" s="709">
        <f t="shared" si="6"/>
        <v>12222.603520960287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96536.925683197449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145.06265170572493</v>
      </c>
      <c r="D54" s="975">
        <f ca="1">+landbouw!C12</f>
        <v>0</v>
      </c>
      <c r="E54" s="975">
        <f>+landbouw!D12</f>
        <v>19.923472939423995</v>
      </c>
      <c r="F54" s="975">
        <f>+landbouw!E12</f>
        <v>1.5963536884279443</v>
      </c>
      <c r="G54" s="975">
        <f>+landbouw!F12</f>
        <v>767.53250331744675</v>
      </c>
      <c r="H54" s="975">
        <f>+landbouw!G12</f>
        <v>0</v>
      </c>
      <c r="I54" s="975">
        <f>+landbouw!H12</f>
        <v>0</v>
      </c>
      <c r="J54" s="975">
        <f>+landbouw!I12</f>
        <v>0</v>
      </c>
      <c r="K54" s="975">
        <f>+landbouw!J12</f>
        <v>21.23063385389101</v>
      </c>
      <c r="L54" s="975">
        <f>+landbouw!K12</f>
        <v>0</v>
      </c>
      <c r="M54" s="975">
        <f>+landbouw!L12</f>
        <v>0</v>
      </c>
      <c r="N54" s="975">
        <f>+landbouw!M12</f>
        <v>0</v>
      </c>
      <c r="O54" s="975">
        <f>+landbouw!N12</f>
        <v>0</v>
      </c>
      <c r="P54" s="975">
        <f>+landbouw!O12</f>
        <v>0</v>
      </c>
      <c r="Q54" s="976">
        <f>+landbouw!P12</f>
        <v>0</v>
      </c>
      <c r="R54" s="708">
        <f ca="1">SUM(C54:Q54)</f>
        <v>955.34561550491469</v>
      </c>
    </row>
    <row r="55" spans="1:18" ht="15" thickBot="1">
      <c r="A55" s="807" t="s">
        <v>895</v>
      </c>
      <c r="B55" s="817"/>
      <c r="C55" s="975">
        <f ca="1">C25*'EF ele_warmte'!B12</f>
        <v>726.14145668018409</v>
      </c>
      <c r="D55" s="975"/>
      <c r="E55" s="975">
        <f>E25*EF_CO2_aardgas</f>
        <v>1680.2101687116074</v>
      </c>
      <c r="F55" s="975"/>
      <c r="G55" s="975"/>
      <c r="H55" s="975"/>
      <c r="I55" s="975"/>
      <c r="J55" s="975"/>
      <c r="K55" s="975"/>
      <c r="L55" s="975"/>
      <c r="M55" s="975"/>
      <c r="N55" s="975"/>
      <c r="O55" s="975"/>
      <c r="P55" s="975"/>
      <c r="Q55" s="976"/>
      <c r="R55" s="708">
        <f ca="1">SUM(C55:Q55)</f>
        <v>2406.3516253917915</v>
      </c>
    </row>
    <row r="56" spans="1:18" ht="15.75" thickBot="1">
      <c r="A56" s="805" t="s">
        <v>896</v>
      </c>
      <c r="B56" s="818"/>
      <c r="C56" s="709">
        <f ca="1">SUM(C54:C55)</f>
        <v>871.20410838590897</v>
      </c>
      <c r="D56" s="709">
        <f t="shared" ref="D56:Q56" ca="1" si="7">SUM(D54:D55)</f>
        <v>0</v>
      </c>
      <c r="E56" s="709">
        <f t="shared" si="7"/>
        <v>1700.1336416510314</v>
      </c>
      <c r="F56" s="709">
        <f t="shared" si="7"/>
        <v>1.5963536884279443</v>
      </c>
      <c r="G56" s="709">
        <f t="shared" si="7"/>
        <v>767.53250331744675</v>
      </c>
      <c r="H56" s="709">
        <f t="shared" si="7"/>
        <v>0</v>
      </c>
      <c r="I56" s="709">
        <f t="shared" si="7"/>
        <v>0</v>
      </c>
      <c r="J56" s="709">
        <f t="shared" si="7"/>
        <v>0</v>
      </c>
      <c r="K56" s="709">
        <f t="shared" si="7"/>
        <v>21.23063385389101</v>
      </c>
      <c r="L56" s="709">
        <f t="shared" si="7"/>
        <v>0</v>
      </c>
      <c r="M56" s="709">
        <f t="shared" si="7"/>
        <v>0</v>
      </c>
      <c r="N56" s="709">
        <f t="shared" si="7"/>
        <v>0</v>
      </c>
      <c r="O56" s="709">
        <f t="shared" si="7"/>
        <v>0</v>
      </c>
      <c r="P56" s="709">
        <f t="shared" si="7"/>
        <v>0</v>
      </c>
      <c r="Q56" s="710">
        <f t="shared" si="7"/>
        <v>0</v>
      </c>
      <c r="R56" s="711">
        <f ca="1">SUM(R54:R55)</f>
        <v>3361.6972408967063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37969.36861778966</v>
      </c>
      <c r="D61" s="717">
        <f t="shared" ref="D61:Q61" ca="1" si="8">D46+D52+D56</f>
        <v>0</v>
      </c>
      <c r="E61" s="717">
        <f t="shared" ca="1" si="8"/>
        <v>54646.187997402936</v>
      </c>
      <c r="F61" s="717">
        <f t="shared" si="8"/>
        <v>1456.6398970581174</v>
      </c>
      <c r="G61" s="717">
        <f t="shared" ca="1" si="8"/>
        <v>31236.114678271006</v>
      </c>
      <c r="H61" s="717">
        <f t="shared" si="8"/>
        <v>83923.513041390441</v>
      </c>
      <c r="I61" s="717">
        <f t="shared" si="8"/>
        <v>12222.603520960287</v>
      </c>
      <c r="J61" s="717">
        <f t="shared" si="8"/>
        <v>0</v>
      </c>
      <c r="K61" s="717">
        <f t="shared" si="8"/>
        <v>837.1135849096587</v>
      </c>
      <c r="L61" s="717">
        <f t="shared" si="8"/>
        <v>0</v>
      </c>
      <c r="M61" s="717">
        <f t="shared" ca="1" si="8"/>
        <v>0</v>
      </c>
      <c r="N61" s="717">
        <f t="shared" si="8"/>
        <v>0</v>
      </c>
      <c r="O61" s="717">
        <f t="shared" ca="1" si="8"/>
        <v>0</v>
      </c>
      <c r="P61" s="717">
        <f t="shared" si="8"/>
        <v>0</v>
      </c>
      <c r="Q61" s="717">
        <f t="shared" si="8"/>
        <v>0</v>
      </c>
      <c r="R61" s="717">
        <f ca="1">R46+R52+R56</f>
        <v>222291.54133778208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0.2160185073721238</v>
      </c>
      <c r="D63" s="761">
        <f t="shared" ca="1" si="9"/>
        <v>0</v>
      </c>
      <c r="E63" s="977">
        <f t="shared" ca="1" si="9"/>
        <v>0.20199999999999999</v>
      </c>
      <c r="F63" s="761">
        <f t="shared" si="9"/>
        <v>0.22700000000000001</v>
      </c>
      <c r="G63" s="761">
        <f t="shared" ca="1" si="9"/>
        <v>0.26700000000000002</v>
      </c>
      <c r="H63" s="761">
        <f t="shared" si="9"/>
        <v>0.26700000000000002</v>
      </c>
      <c r="I63" s="761">
        <f t="shared" si="9"/>
        <v>0.24900000000000003</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3961.9558602129355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3961.9558602129355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62132.839679430028</v>
      </c>
      <c r="C4" s="449">
        <f>huishoudens!C8</f>
        <v>0</v>
      </c>
      <c r="D4" s="449">
        <f>huishoudens!D8</f>
        <v>145683.25477556535</v>
      </c>
      <c r="E4" s="449">
        <f>huishoudens!E8</f>
        <v>2766.2575007656087</v>
      </c>
      <c r="F4" s="449">
        <f>huishoudens!F8</f>
        <v>94424.527977353646</v>
      </c>
      <c r="G4" s="449">
        <f>huishoudens!G8</f>
        <v>0</v>
      </c>
      <c r="H4" s="449">
        <f>huishoudens!H8</f>
        <v>0</v>
      </c>
      <c r="I4" s="449">
        <f>huishoudens!I8</f>
        <v>0</v>
      </c>
      <c r="J4" s="449">
        <f>huishoudens!J8</f>
        <v>2126.2009767544637</v>
      </c>
      <c r="K4" s="449">
        <f>huishoudens!K8</f>
        <v>0</v>
      </c>
      <c r="L4" s="449">
        <f>huishoudens!L8</f>
        <v>0</v>
      </c>
      <c r="M4" s="449">
        <f>huishoudens!M8</f>
        <v>0</v>
      </c>
      <c r="N4" s="449">
        <f>huishoudens!N8</f>
        <v>17852.474666026199</v>
      </c>
      <c r="O4" s="449">
        <f>huishoudens!O8</f>
        <v>109.43333333333334</v>
      </c>
      <c r="P4" s="450">
        <f>huishoudens!P8</f>
        <v>266.93333333333334</v>
      </c>
      <c r="Q4" s="451">
        <f>SUM(B4:P4)</f>
        <v>325361.922242562</v>
      </c>
    </row>
    <row r="5" spans="1:17">
      <c r="A5" s="448" t="s">
        <v>155</v>
      </c>
      <c r="B5" s="449">
        <f ca="1">tertiair!B16</f>
        <v>78437.078930843534</v>
      </c>
      <c r="C5" s="449">
        <f ca="1">tertiair!C16</f>
        <v>0</v>
      </c>
      <c r="D5" s="449">
        <f ca="1">tertiair!D16</f>
        <v>79057.803876826089</v>
      </c>
      <c r="E5" s="449">
        <f>tertiair!E16</f>
        <v>1700.3600515692578</v>
      </c>
      <c r="F5" s="449">
        <f ca="1">tertiair!F16</f>
        <v>13811.696677719578</v>
      </c>
      <c r="G5" s="449">
        <f>tertiair!G16</f>
        <v>0</v>
      </c>
      <c r="H5" s="449">
        <f>tertiair!H16</f>
        <v>0</v>
      </c>
      <c r="I5" s="449">
        <f>tertiair!I16</f>
        <v>0</v>
      </c>
      <c r="J5" s="449">
        <f>tertiair!J16</f>
        <v>0</v>
      </c>
      <c r="K5" s="449">
        <f>tertiair!K16</f>
        <v>0</v>
      </c>
      <c r="L5" s="449">
        <f ca="1">tertiair!L16</f>
        <v>0</v>
      </c>
      <c r="M5" s="449">
        <f>tertiair!M16</f>
        <v>0</v>
      </c>
      <c r="N5" s="449">
        <f ca="1">tertiair!N16</f>
        <v>2544.3202071275318</v>
      </c>
      <c r="O5" s="449">
        <f>tertiair!O16</f>
        <v>0</v>
      </c>
      <c r="P5" s="450">
        <f>tertiair!P16</f>
        <v>38.133333333333333</v>
      </c>
      <c r="Q5" s="448">
        <f t="shared" ref="Q5:Q14" ca="1" si="0">SUM(B5:P5)</f>
        <v>175589.39307741934</v>
      </c>
    </row>
    <row r="6" spans="1:17">
      <c r="A6" s="448" t="s">
        <v>193</v>
      </c>
      <c r="B6" s="449">
        <f>'openbare verlichting'!B8</f>
        <v>3386.3850000000002</v>
      </c>
      <c r="C6" s="449"/>
      <c r="D6" s="449"/>
      <c r="E6" s="449"/>
      <c r="F6" s="449"/>
      <c r="G6" s="449"/>
      <c r="H6" s="449"/>
      <c r="I6" s="449"/>
      <c r="J6" s="449"/>
      <c r="K6" s="449"/>
      <c r="L6" s="449"/>
      <c r="M6" s="449"/>
      <c r="N6" s="449"/>
      <c r="O6" s="449"/>
      <c r="P6" s="450"/>
      <c r="Q6" s="448">
        <f t="shared" si="0"/>
        <v>3386.3850000000002</v>
      </c>
    </row>
    <row r="7" spans="1:17">
      <c r="A7" s="448" t="s">
        <v>111</v>
      </c>
      <c r="B7" s="449">
        <f>landbouw!B8</f>
        <v>671.528812370845</v>
      </c>
      <c r="C7" s="449">
        <f>landbouw!C8</f>
        <v>0</v>
      </c>
      <c r="D7" s="449">
        <f>landbouw!D8</f>
        <v>98.631054155564328</v>
      </c>
      <c r="E7" s="449">
        <f>landbouw!E8</f>
        <v>7.0323951032068033</v>
      </c>
      <c r="F7" s="449">
        <f>landbouw!F8</f>
        <v>2874.6535704773287</v>
      </c>
      <c r="G7" s="449">
        <f>landbouw!G8</f>
        <v>0</v>
      </c>
      <c r="H7" s="449">
        <f>landbouw!H8</f>
        <v>0</v>
      </c>
      <c r="I7" s="449">
        <f>landbouw!I8</f>
        <v>0</v>
      </c>
      <c r="J7" s="449">
        <f>landbouw!J8</f>
        <v>59.973541960144097</v>
      </c>
      <c r="K7" s="449">
        <f>landbouw!K8</f>
        <v>0</v>
      </c>
      <c r="L7" s="449">
        <f>landbouw!L8</f>
        <v>0</v>
      </c>
      <c r="M7" s="449">
        <f>landbouw!M8</f>
        <v>0</v>
      </c>
      <c r="N7" s="449">
        <f>landbouw!N8</f>
        <v>0</v>
      </c>
      <c r="O7" s="449">
        <f>landbouw!O8</f>
        <v>0</v>
      </c>
      <c r="P7" s="450">
        <f>landbouw!P8</f>
        <v>0</v>
      </c>
      <c r="Q7" s="448">
        <f t="shared" si="0"/>
        <v>3711.819374067089</v>
      </c>
    </row>
    <row r="8" spans="1:17">
      <c r="A8" s="448" t="s">
        <v>643</v>
      </c>
      <c r="B8" s="449">
        <f>industrie!B18</f>
        <v>27751.809653309298</v>
      </c>
      <c r="C8" s="449">
        <f>industrie!C18</f>
        <v>0</v>
      </c>
      <c r="D8" s="449">
        <f>industrie!D18</f>
        <v>37353.740517115846</v>
      </c>
      <c r="E8" s="449">
        <f>industrie!E18</f>
        <v>261.01911971535793</v>
      </c>
      <c r="F8" s="449">
        <f>industrie!F18</f>
        <v>5878.3153260262434</v>
      </c>
      <c r="G8" s="449">
        <f>industrie!G18</f>
        <v>0</v>
      </c>
      <c r="H8" s="449">
        <f>industrie!H18</f>
        <v>0</v>
      </c>
      <c r="I8" s="449">
        <f>industrie!I18</f>
        <v>0</v>
      </c>
      <c r="J8" s="449">
        <f>industrie!J18</f>
        <v>178.55312227312854</v>
      </c>
      <c r="K8" s="449">
        <f>industrie!K18</f>
        <v>0</v>
      </c>
      <c r="L8" s="449">
        <f>industrie!L18</f>
        <v>0</v>
      </c>
      <c r="M8" s="449">
        <f>industrie!M18</f>
        <v>0</v>
      </c>
      <c r="N8" s="449">
        <f>industrie!N18</f>
        <v>526.65849684900229</v>
      </c>
      <c r="O8" s="449">
        <f>industrie!O18</f>
        <v>0</v>
      </c>
      <c r="P8" s="450">
        <f>industrie!P18</f>
        <v>0</v>
      </c>
      <c r="Q8" s="448">
        <f t="shared" si="0"/>
        <v>71950.096235288875</v>
      </c>
    </row>
    <row r="9" spans="1:17" s="454" customFormat="1">
      <c r="A9" s="452" t="s">
        <v>562</v>
      </c>
      <c r="B9" s="453">
        <f>transport!B14</f>
        <v>4.3425338633490469</v>
      </c>
      <c r="C9" s="453">
        <f>transport!C14</f>
        <v>0</v>
      </c>
      <c r="D9" s="453">
        <f>transport!D14</f>
        <v>14.380809462529822</v>
      </c>
      <c r="E9" s="453">
        <f>transport!E14</f>
        <v>1682.2467789175698</v>
      </c>
      <c r="F9" s="453">
        <f>transport!F14</f>
        <v>0</v>
      </c>
      <c r="G9" s="453">
        <f>transport!G14</f>
        <v>309202.42465557047</v>
      </c>
      <c r="H9" s="453">
        <f>transport!H14</f>
        <v>49086.761128354563</v>
      </c>
      <c r="I9" s="453">
        <f>transport!I14</f>
        <v>0</v>
      </c>
      <c r="J9" s="453">
        <f>transport!J14</f>
        <v>0</v>
      </c>
      <c r="K9" s="453">
        <f>transport!K14</f>
        <v>0</v>
      </c>
      <c r="L9" s="453">
        <f>transport!L14</f>
        <v>0</v>
      </c>
      <c r="M9" s="453">
        <f>transport!M14</f>
        <v>15579.407041696666</v>
      </c>
      <c r="N9" s="453">
        <f>transport!N14</f>
        <v>0</v>
      </c>
      <c r="O9" s="453">
        <f>transport!O14</f>
        <v>0</v>
      </c>
      <c r="P9" s="453">
        <f>transport!P14</f>
        <v>0</v>
      </c>
      <c r="Q9" s="452">
        <f>SUM(B9:P9)</f>
        <v>375569.56294786517</v>
      </c>
    </row>
    <row r="10" spans="1:17">
      <c r="A10" s="448" t="s">
        <v>552</v>
      </c>
      <c r="B10" s="449">
        <f>transport!B54</f>
        <v>23.591084391958038</v>
      </c>
      <c r="C10" s="449">
        <f>transport!C54</f>
        <v>0</v>
      </c>
      <c r="D10" s="449">
        <f>transport!D54</f>
        <v>0</v>
      </c>
      <c r="E10" s="449">
        <f>transport!E54</f>
        <v>0</v>
      </c>
      <c r="F10" s="449">
        <f>transport!F54</f>
        <v>0</v>
      </c>
      <c r="G10" s="449">
        <f>transport!G54</f>
        <v>5117.8489076895776</v>
      </c>
      <c r="H10" s="449">
        <f>transport!H54</f>
        <v>0</v>
      </c>
      <c r="I10" s="449">
        <f>transport!I54</f>
        <v>0</v>
      </c>
      <c r="J10" s="449">
        <f>transport!J54</f>
        <v>0</v>
      </c>
      <c r="K10" s="449">
        <f>transport!K54</f>
        <v>0</v>
      </c>
      <c r="L10" s="449">
        <f>transport!L54</f>
        <v>0</v>
      </c>
      <c r="M10" s="449">
        <f>transport!M54</f>
        <v>219.126631295127</v>
      </c>
      <c r="N10" s="449">
        <f>transport!N54</f>
        <v>0</v>
      </c>
      <c r="O10" s="449">
        <f>transport!O54</f>
        <v>0</v>
      </c>
      <c r="P10" s="450">
        <f>transport!P54</f>
        <v>0</v>
      </c>
      <c r="Q10" s="448">
        <f t="shared" si="0"/>
        <v>5360.5666233766624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3361.4779840566998</v>
      </c>
      <c r="C14" s="456"/>
      <c r="D14" s="456">
        <f>'SEAP template'!E25</f>
        <v>8317.8721223346893</v>
      </c>
      <c r="E14" s="456"/>
      <c r="F14" s="456"/>
      <c r="G14" s="456"/>
      <c r="H14" s="456"/>
      <c r="I14" s="456"/>
      <c r="J14" s="456"/>
      <c r="K14" s="456"/>
      <c r="L14" s="456"/>
      <c r="M14" s="456"/>
      <c r="N14" s="456"/>
      <c r="O14" s="456"/>
      <c r="P14" s="457"/>
      <c r="Q14" s="448">
        <f t="shared" si="0"/>
        <v>11679.35010639139</v>
      </c>
    </row>
    <row r="15" spans="1:17" s="461" customFormat="1">
      <c r="A15" s="458" t="s">
        <v>556</v>
      </c>
      <c r="B15" s="459">
        <f ca="1">SUM(B4:B14)</f>
        <v>175769.05367826571</v>
      </c>
      <c r="C15" s="459">
        <f t="shared" ref="C15:Q15" ca="1" si="1">SUM(C4:C14)</f>
        <v>0</v>
      </c>
      <c r="D15" s="459">
        <f t="shared" ca="1" si="1"/>
        <v>270525.68315545999</v>
      </c>
      <c r="E15" s="459">
        <f t="shared" si="1"/>
        <v>6416.9158460710014</v>
      </c>
      <c r="F15" s="459">
        <f t="shared" ca="1" si="1"/>
        <v>116989.1935515768</v>
      </c>
      <c r="G15" s="459">
        <f t="shared" si="1"/>
        <v>314320.27356326004</v>
      </c>
      <c r="H15" s="459">
        <f t="shared" si="1"/>
        <v>49086.761128354563</v>
      </c>
      <c r="I15" s="459">
        <f t="shared" si="1"/>
        <v>0</v>
      </c>
      <c r="J15" s="459">
        <f t="shared" si="1"/>
        <v>2364.7276409877363</v>
      </c>
      <c r="K15" s="459">
        <f t="shared" si="1"/>
        <v>0</v>
      </c>
      <c r="L15" s="459">
        <f t="shared" ca="1" si="1"/>
        <v>0</v>
      </c>
      <c r="M15" s="459">
        <f t="shared" si="1"/>
        <v>15798.533672991793</v>
      </c>
      <c r="N15" s="459">
        <f t="shared" ca="1" si="1"/>
        <v>20923.453370002735</v>
      </c>
      <c r="O15" s="459">
        <f t="shared" si="1"/>
        <v>109.43333333333334</v>
      </c>
      <c r="P15" s="459">
        <f t="shared" si="1"/>
        <v>305.06666666666666</v>
      </c>
      <c r="Q15" s="459">
        <f t="shared" ca="1" si="1"/>
        <v>972609.09560697037</v>
      </c>
    </row>
    <row r="17" spans="1:17">
      <c r="A17" s="462" t="s">
        <v>557</v>
      </c>
      <c r="B17" s="766">
        <f ca="1">huishoudens!B10</f>
        <v>0.2160185073721238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13421.843286341942</v>
      </c>
      <c r="C22" s="449">
        <f t="shared" ref="C22:C32" ca="1" si="3">C4*$C$17</f>
        <v>0</v>
      </c>
      <c r="D22" s="449">
        <f t="shared" ref="D22:D32" si="4">D4*$D$17</f>
        <v>29428.017464664204</v>
      </c>
      <c r="E22" s="449">
        <f t="shared" ref="E22:E32" si="5">E4*$E$17</f>
        <v>627.94045267379317</v>
      </c>
      <c r="F22" s="449">
        <f t="shared" ref="F22:F32" si="6">F4*$F$17</f>
        <v>25211.348969953426</v>
      </c>
      <c r="G22" s="449">
        <f t="shared" ref="G22:G32" si="7">G4*$G$17</f>
        <v>0</v>
      </c>
      <c r="H22" s="449">
        <f t="shared" ref="H22:H32" si="8">H4*$H$17</f>
        <v>0</v>
      </c>
      <c r="I22" s="449">
        <f t="shared" ref="I22:I32" si="9">I4*$I$17</f>
        <v>0</v>
      </c>
      <c r="J22" s="449">
        <f t="shared" ref="J22:J32" si="10">J4*$J$17</f>
        <v>752.67514577108011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69441.825319404437</v>
      </c>
    </row>
    <row r="23" spans="1:17">
      <c r="A23" s="448" t="s">
        <v>155</v>
      </c>
      <c r="B23" s="449">
        <f t="shared" ca="1" si="2"/>
        <v>16943.860713270282</v>
      </c>
      <c r="C23" s="449">
        <f t="shared" ca="1" si="3"/>
        <v>0</v>
      </c>
      <c r="D23" s="449">
        <f t="shared" ca="1" si="4"/>
        <v>15969.676383118871</v>
      </c>
      <c r="E23" s="449">
        <f t="shared" si="5"/>
        <v>385.98173170622152</v>
      </c>
      <c r="F23" s="449">
        <f t="shared" ca="1" si="6"/>
        <v>3687.7230129511272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36987.241841046503</v>
      </c>
    </row>
    <row r="24" spans="1:17">
      <c r="A24" s="448" t="s">
        <v>193</v>
      </c>
      <c r="B24" s="449">
        <f t="shared" ca="1" si="2"/>
        <v>731.52183308734948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731.52183308734948</v>
      </c>
    </row>
    <row r="25" spans="1:17">
      <c r="A25" s="448" t="s">
        <v>111</v>
      </c>
      <c r="B25" s="449">
        <f t="shared" ca="1" si="2"/>
        <v>145.06265170572493</v>
      </c>
      <c r="C25" s="449">
        <f t="shared" ca="1" si="3"/>
        <v>0</v>
      </c>
      <c r="D25" s="449">
        <f t="shared" si="4"/>
        <v>19.923472939423995</v>
      </c>
      <c r="E25" s="449">
        <f t="shared" si="5"/>
        <v>1.5963536884279443</v>
      </c>
      <c r="F25" s="449">
        <f t="shared" si="6"/>
        <v>767.53250331744675</v>
      </c>
      <c r="G25" s="449">
        <f t="shared" si="7"/>
        <v>0</v>
      </c>
      <c r="H25" s="449">
        <f t="shared" si="8"/>
        <v>0</v>
      </c>
      <c r="I25" s="449">
        <f t="shared" si="9"/>
        <v>0</v>
      </c>
      <c r="J25" s="449">
        <f t="shared" si="10"/>
        <v>21.23063385389101</v>
      </c>
      <c r="K25" s="449">
        <f t="shared" si="11"/>
        <v>0</v>
      </c>
      <c r="L25" s="449">
        <f t="shared" si="12"/>
        <v>0</v>
      </c>
      <c r="M25" s="449">
        <f t="shared" si="13"/>
        <v>0</v>
      </c>
      <c r="N25" s="449">
        <f t="shared" si="14"/>
        <v>0</v>
      </c>
      <c r="O25" s="449">
        <f t="shared" si="15"/>
        <v>0</v>
      </c>
      <c r="P25" s="450">
        <f t="shared" si="16"/>
        <v>0</v>
      </c>
      <c r="Q25" s="448">
        <f t="shared" ca="1" si="17"/>
        <v>955.34561550491469</v>
      </c>
    </row>
    <row r="26" spans="1:17">
      <c r="A26" s="448" t="s">
        <v>643</v>
      </c>
      <c r="B26" s="449">
        <f t="shared" ca="1" si="2"/>
        <v>5994.9044981831712</v>
      </c>
      <c r="C26" s="449">
        <f t="shared" ca="1" si="3"/>
        <v>0</v>
      </c>
      <c r="D26" s="449">
        <f t="shared" si="4"/>
        <v>7545.4555844574015</v>
      </c>
      <c r="E26" s="449">
        <f t="shared" si="5"/>
        <v>59.251340175386254</v>
      </c>
      <c r="F26" s="449">
        <f t="shared" si="6"/>
        <v>1569.5101920490072</v>
      </c>
      <c r="G26" s="449">
        <f t="shared" si="7"/>
        <v>0</v>
      </c>
      <c r="H26" s="449">
        <f t="shared" si="8"/>
        <v>0</v>
      </c>
      <c r="I26" s="449">
        <f t="shared" si="9"/>
        <v>0</v>
      </c>
      <c r="J26" s="449">
        <f t="shared" si="10"/>
        <v>63.207805284687495</v>
      </c>
      <c r="K26" s="449">
        <f t="shared" si="11"/>
        <v>0</v>
      </c>
      <c r="L26" s="449">
        <f t="shared" si="12"/>
        <v>0</v>
      </c>
      <c r="M26" s="449">
        <f t="shared" si="13"/>
        <v>0</v>
      </c>
      <c r="N26" s="449">
        <f t="shared" si="14"/>
        <v>0</v>
      </c>
      <c r="O26" s="449">
        <f t="shared" si="15"/>
        <v>0</v>
      </c>
      <c r="P26" s="450">
        <f t="shared" si="16"/>
        <v>0</v>
      </c>
      <c r="Q26" s="448">
        <f t="shared" ca="1" si="17"/>
        <v>15232.329420149654</v>
      </c>
    </row>
    <row r="27" spans="1:17" s="454" customFormat="1">
      <c r="A27" s="452" t="s">
        <v>562</v>
      </c>
      <c r="B27" s="760">
        <f t="shared" ca="1" si="2"/>
        <v>0.93806768337356339</v>
      </c>
      <c r="C27" s="453">
        <f t="shared" ca="1" si="3"/>
        <v>0</v>
      </c>
      <c r="D27" s="453">
        <f t="shared" si="4"/>
        <v>2.9049235114310243</v>
      </c>
      <c r="E27" s="453">
        <f t="shared" si="5"/>
        <v>381.87001881428836</v>
      </c>
      <c r="F27" s="453">
        <f t="shared" si="6"/>
        <v>0</v>
      </c>
      <c r="G27" s="453">
        <f t="shared" si="7"/>
        <v>82557.047383037323</v>
      </c>
      <c r="H27" s="453">
        <f t="shared" si="8"/>
        <v>12222.603520960287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95165.363914006695</v>
      </c>
    </row>
    <row r="28" spans="1:17">
      <c r="A28" s="448" t="s">
        <v>552</v>
      </c>
      <c r="B28" s="449">
        <f t="shared" ca="1" si="2"/>
        <v>5.0961108376405821</v>
      </c>
      <c r="C28" s="449">
        <f t="shared" ca="1" si="3"/>
        <v>0</v>
      </c>
      <c r="D28" s="449">
        <f t="shared" si="4"/>
        <v>0</v>
      </c>
      <c r="E28" s="449">
        <f t="shared" si="5"/>
        <v>0</v>
      </c>
      <c r="F28" s="449">
        <f t="shared" si="6"/>
        <v>0</v>
      </c>
      <c r="G28" s="449">
        <f t="shared" si="7"/>
        <v>1366.4656583531173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1371.5617691907578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726.14145668018409</v>
      </c>
      <c r="C32" s="449">
        <f t="shared" ca="1" si="3"/>
        <v>0</v>
      </c>
      <c r="D32" s="449">
        <f t="shared" si="4"/>
        <v>1680.2101687116074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2406.3516253917915</v>
      </c>
    </row>
    <row r="33" spans="1:17" s="461" customFormat="1">
      <c r="A33" s="458" t="s">
        <v>556</v>
      </c>
      <c r="B33" s="459">
        <f ca="1">SUM(B22:B32)</f>
        <v>37969.368617789674</v>
      </c>
      <c r="C33" s="459">
        <f t="shared" ref="C33:Q33" ca="1" si="19">SUM(C22:C32)</f>
        <v>0</v>
      </c>
      <c r="D33" s="459">
        <f t="shared" ca="1" si="19"/>
        <v>54646.187997402936</v>
      </c>
      <c r="E33" s="459">
        <f t="shared" si="19"/>
        <v>1456.6398970581172</v>
      </c>
      <c r="F33" s="459">
        <f t="shared" ca="1" si="19"/>
        <v>31236.114678271009</v>
      </c>
      <c r="G33" s="459">
        <f t="shared" si="19"/>
        <v>83923.513041390441</v>
      </c>
      <c r="H33" s="459">
        <f t="shared" si="19"/>
        <v>12222.603520960287</v>
      </c>
      <c r="I33" s="459">
        <f t="shared" si="19"/>
        <v>0</v>
      </c>
      <c r="J33" s="459">
        <f t="shared" si="19"/>
        <v>837.1135849096587</v>
      </c>
      <c r="K33" s="459">
        <f t="shared" si="19"/>
        <v>0</v>
      </c>
      <c r="L33" s="459">
        <f t="shared" ca="1" si="19"/>
        <v>0</v>
      </c>
      <c r="M33" s="459">
        <f t="shared" si="19"/>
        <v>0</v>
      </c>
      <c r="N33" s="459">
        <f t="shared" ca="1" si="19"/>
        <v>0</v>
      </c>
      <c r="O33" s="459">
        <f t="shared" si="19"/>
        <v>0</v>
      </c>
      <c r="P33" s="459">
        <f t="shared" si="19"/>
        <v>0</v>
      </c>
      <c r="Q33" s="459">
        <f t="shared" ca="1" si="19"/>
        <v>222291.54133778211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3961.9558602129355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3961.9558602129355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0.2160185073721238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0.2160185073721238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0.2160185073721238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0.2160185073721238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14941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1495</v>
      </c>
      <c r="C14" s="326"/>
      <c r="D14" s="326"/>
      <c r="E14" s="326"/>
      <c r="F14" s="326"/>
    </row>
    <row r="15" spans="1:6">
      <c r="A15" s="1282" t="s">
        <v>183</v>
      </c>
      <c r="B15" s="1283">
        <v>414</v>
      </c>
      <c r="C15" s="326"/>
      <c r="D15" s="326"/>
      <c r="E15" s="326"/>
      <c r="F15" s="326"/>
    </row>
    <row r="16" spans="1:6">
      <c r="A16" s="1282" t="s">
        <v>6</v>
      </c>
      <c r="B16" s="1283">
        <v>88</v>
      </c>
      <c r="C16" s="326"/>
      <c r="D16" s="326"/>
      <c r="E16" s="326"/>
      <c r="F16" s="326"/>
    </row>
    <row r="17" spans="1:6">
      <c r="A17" s="1282" t="s">
        <v>7</v>
      </c>
      <c r="B17" s="1283">
        <v>150</v>
      </c>
      <c r="C17" s="326"/>
      <c r="D17" s="326"/>
      <c r="E17" s="326"/>
      <c r="F17" s="326"/>
    </row>
    <row r="18" spans="1:6">
      <c r="A18" s="1282" t="s">
        <v>8</v>
      </c>
      <c r="B18" s="1283">
        <v>172</v>
      </c>
      <c r="C18" s="326"/>
      <c r="D18" s="326"/>
      <c r="E18" s="326"/>
      <c r="F18" s="326"/>
    </row>
    <row r="19" spans="1:6">
      <c r="A19" s="1282" t="s">
        <v>9</v>
      </c>
      <c r="B19" s="1283">
        <v>129</v>
      </c>
      <c r="C19" s="326"/>
      <c r="D19" s="326"/>
      <c r="E19" s="326"/>
      <c r="F19" s="326"/>
    </row>
    <row r="20" spans="1:6">
      <c r="A20" s="1282" t="s">
        <v>10</v>
      </c>
      <c r="B20" s="1283">
        <v>178</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66</v>
      </c>
      <c r="C26" s="326"/>
      <c r="D26" s="326"/>
      <c r="E26" s="326"/>
      <c r="F26" s="326"/>
    </row>
    <row r="27" spans="1:6">
      <c r="A27" s="1282" t="s">
        <v>17</v>
      </c>
      <c r="B27" s="1283">
        <v>12</v>
      </c>
      <c r="C27" s="326"/>
      <c r="D27" s="326"/>
      <c r="E27" s="326"/>
      <c r="F27" s="326"/>
    </row>
    <row r="28" spans="1:6" s="43" customFormat="1">
      <c r="A28" s="1284" t="s">
        <v>18</v>
      </c>
      <c r="B28" s="1285">
        <v>5</v>
      </c>
      <c r="C28" s="332"/>
      <c r="D28" s="332"/>
      <c r="E28" s="332"/>
      <c r="F28" s="332"/>
    </row>
    <row r="29" spans="1:6">
      <c r="A29" s="1284" t="s">
        <v>978</v>
      </c>
      <c r="B29" s="1285">
        <v>155</v>
      </c>
      <c r="C29" s="332"/>
      <c r="D29" s="332"/>
      <c r="E29" s="332"/>
      <c r="F29" s="332"/>
    </row>
    <row r="30" spans="1:6">
      <c r="A30" s="1277" t="s">
        <v>979</v>
      </c>
      <c r="B30" s="1286">
        <v>34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6</v>
      </c>
      <c r="F35" s="1283">
        <v>48614.395961331204</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3</v>
      </c>
      <c r="D38" s="1283">
        <v>5955146.0363762602</v>
      </c>
      <c r="E38" s="1283">
        <v>11</v>
      </c>
      <c r="F38" s="1283">
        <v>202874.132535804</v>
      </c>
    </row>
    <row r="39" spans="1:6">
      <c r="A39" s="1282" t="s">
        <v>29</v>
      </c>
      <c r="B39" s="1282" t="s">
        <v>30</v>
      </c>
      <c r="C39" s="1283">
        <v>9680</v>
      </c>
      <c r="D39" s="1283">
        <v>161511368.93078199</v>
      </c>
      <c r="E39" s="1283">
        <v>15303</v>
      </c>
      <c r="F39" s="1283">
        <v>60573796.178816497</v>
      </c>
    </row>
    <row r="40" spans="1:6">
      <c r="A40" s="1282" t="s">
        <v>29</v>
      </c>
      <c r="B40" s="1282" t="s">
        <v>28</v>
      </c>
      <c r="C40" s="1283">
        <v>0</v>
      </c>
      <c r="D40" s="1283">
        <v>0</v>
      </c>
      <c r="E40" s="1283">
        <v>0</v>
      </c>
      <c r="F40" s="1283">
        <v>0</v>
      </c>
    </row>
    <row r="41" spans="1:6">
      <c r="A41" s="1282" t="s">
        <v>31</v>
      </c>
      <c r="B41" s="1282" t="s">
        <v>32</v>
      </c>
      <c r="C41" s="1283">
        <v>30</v>
      </c>
      <c r="D41" s="1283">
        <v>929712.34657314594</v>
      </c>
      <c r="E41" s="1283">
        <v>93</v>
      </c>
      <c r="F41" s="1283">
        <v>623945.95653202303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8</v>
      </c>
      <c r="F47" s="1283">
        <v>258711.491534142</v>
      </c>
    </row>
    <row r="48" spans="1:6">
      <c r="A48" s="1282" t="s">
        <v>31</v>
      </c>
      <c r="B48" s="1282" t="s">
        <v>28</v>
      </c>
      <c r="C48" s="1283">
        <v>44</v>
      </c>
      <c r="D48" s="1283">
        <v>39877274.221248001</v>
      </c>
      <c r="E48" s="1283">
        <v>83</v>
      </c>
      <c r="F48" s="1283">
        <v>25942613.393420599</v>
      </c>
    </row>
    <row r="49" spans="1:6">
      <c r="A49" s="1282" t="s">
        <v>31</v>
      </c>
      <c r="B49" s="1282" t="s">
        <v>39</v>
      </c>
      <c r="C49" s="1283">
        <v>0</v>
      </c>
      <c r="D49" s="1283">
        <v>0</v>
      </c>
      <c r="E49" s="1283">
        <v>0</v>
      </c>
      <c r="F49" s="1283">
        <v>0</v>
      </c>
    </row>
    <row r="50" spans="1:6">
      <c r="A50" s="1282" t="s">
        <v>31</v>
      </c>
      <c r="B50" s="1282" t="s">
        <v>40</v>
      </c>
      <c r="C50" s="1283">
        <v>7</v>
      </c>
      <c r="D50" s="1283">
        <v>605142.608582224</v>
      </c>
      <c r="E50" s="1283">
        <v>14</v>
      </c>
      <c r="F50" s="1283">
        <v>926538.81182253105</v>
      </c>
    </row>
    <row r="51" spans="1:6">
      <c r="A51" s="1282" t="s">
        <v>41</v>
      </c>
      <c r="B51" s="1282" t="s">
        <v>42</v>
      </c>
      <c r="C51" s="1283">
        <v>0</v>
      </c>
      <c r="D51" s="1283">
        <v>0</v>
      </c>
      <c r="E51" s="1283">
        <v>44</v>
      </c>
      <c r="F51" s="1283">
        <v>387692.32417942001</v>
      </c>
    </row>
    <row r="52" spans="1:6">
      <c r="A52" s="1282" t="s">
        <v>41</v>
      </c>
      <c r="B52" s="1282" t="s">
        <v>28</v>
      </c>
      <c r="C52" s="1283">
        <v>5</v>
      </c>
      <c r="D52" s="1283">
        <v>109347.066691313</v>
      </c>
      <c r="E52" s="1283">
        <v>15</v>
      </c>
      <c r="F52" s="1283">
        <v>283836.48819142499</v>
      </c>
    </row>
    <row r="53" spans="1:6">
      <c r="A53" s="1282" t="s">
        <v>43</v>
      </c>
      <c r="B53" s="1282" t="s">
        <v>44</v>
      </c>
      <c r="C53" s="1283">
        <v>338</v>
      </c>
      <c r="D53" s="1283">
        <v>8317872.1223346898</v>
      </c>
      <c r="E53" s="1283">
        <v>611</v>
      </c>
      <c r="F53" s="1283">
        <v>3361477.9840567</v>
      </c>
    </row>
    <row r="54" spans="1:6">
      <c r="A54" s="1282" t="s">
        <v>45</v>
      </c>
      <c r="B54" s="1282" t="s">
        <v>46</v>
      </c>
      <c r="C54" s="1283">
        <v>0</v>
      </c>
      <c r="D54" s="1283">
        <v>0</v>
      </c>
      <c r="E54" s="1283">
        <v>1</v>
      </c>
      <c r="F54" s="1283">
        <v>3386385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39</v>
      </c>
      <c r="D57" s="1283">
        <v>3000998.0268531898</v>
      </c>
      <c r="E57" s="1283">
        <v>191</v>
      </c>
      <c r="F57" s="1283">
        <v>7984797.7074754704</v>
      </c>
    </row>
    <row r="58" spans="1:6">
      <c r="A58" s="1282" t="s">
        <v>48</v>
      </c>
      <c r="B58" s="1282" t="s">
        <v>50</v>
      </c>
      <c r="C58" s="1283">
        <v>24</v>
      </c>
      <c r="D58" s="1283">
        <v>1109567.4198843599</v>
      </c>
      <c r="E58" s="1283">
        <v>40</v>
      </c>
      <c r="F58" s="1283">
        <v>456422.90100995998</v>
      </c>
    </row>
    <row r="59" spans="1:6">
      <c r="A59" s="1282" t="s">
        <v>48</v>
      </c>
      <c r="B59" s="1282" t="s">
        <v>51</v>
      </c>
      <c r="C59" s="1283">
        <v>138</v>
      </c>
      <c r="D59" s="1283">
        <v>21276773.774914</v>
      </c>
      <c r="E59" s="1283">
        <v>326</v>
      </c>
      <c r="F59" s="1283">
        <v>21110283.823798399</v>
      </c>
    </row>
    <row r="60" spans="1:6">
      <c r="A60" s="1282" t="s">
        <v>48</v>
      </c>
      <c r="B60" s="1282" t="s">
        <v>52</v>
      </c>
      <c r="C60" s="1283">
        <v>83</v>
      </c>
      <c r="D60" s="1283">
        <v>4663527.7634642404</v>
      </c>
      <c r="E60" s="1283">
        <v>102</v>
      </c>
      <c r="F60" s="1283">
        <v>2727402.36646698</v>
      </c>
    </row>
    <row r="61" spans="1:6">
      <c r="A61" s="1282" t="s">
        <v>48</v>
      </c>
      <c r="B61" s="1282" t="s">
        <v>53</v>
      </c>
      <c r="C61" s="1283">
        <v>263</v>
      </c>
      <c r="D61" s="1283">
        <v>40531917.3709822</v>
      </c>
      <c r="E61" s="1283">
        <v>690</v>
      </c>
      <c r="F61" s="1283">
        <v>29755967.018147599</v>
      </c>
    </row>
    <row r="62" spans="1:6">
      <c r="A62" s="1282" t="s">
        <v>48</v>
      </c>
      <c r="B62" s="1282" t="s">
        <v>54</v>
      </c>
      <c r="C62" s="1283">
        <v>4</v>
      </c>
      <c r="D62" s="1283">
        <v>363799.19098458299</v>
      </c>
      <c r="E62" s="1283">
        <v>11</v>
      </c>
      <c r="F62" s="1283">
        <v>198179.31189041599</v>
      </c>
    </row>
    <row r="63" spans="1:6">
      <c r="A63" s="1282" t="s">
        <v>48</v>
      </c>
      <c r="B63" s="1282" t="s">
        <v>28</v>
      </c>
      <c r="C63" s="1283">
        <v>242</v>
      </c>
      <c r="D63" s="1283">
        <v>16700649.1323255</v>
      </c>
      <c r="E63" s="1283">
        <v>298</v>
      </c>
      <c r="F63" s="1283">
        <v>16204025.8020547</v>
      </c>
    </row>
    <row r="64" spans="1:6">
      <c r="A64" s="1282" t="s">
        <v>55</v>
      </c>
      <c r="B64" s="1282" t="s">
        <v>56</v>
      </c>
      <c r="C64" s="1283">
        <v>0</v>
      </c>
      <c r="D64" s="1283">
        <v>0</v>
      </c>
      <c r="E64" s="1283">
        <v>0</v>
      </c>
      <c r="F64" s="1283">
        <v>0</v>
      </c>
    </row>
    <row r="65" spans="1:6">
      <c r="A65" s="1282" t="s">
        <v>55</v>
      </c>
      <c r="B65" s="1282" t="s">
        <v>28</v>
      </c>
      <c r="C65" s="1283">
        <v>5</v>
      </c>
      <c r="D65" s="1283">
        <v>361125.725376216</v>
      </c>
      <c r="E65" s="1283">
        <v>8</v>
      </c>
      <c r="F65" s="1283">
        <v>479013.31893753301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215517.57391853799</v>
      </c>
      <c r="E68" s="1286">
        <v>15</v>
      </c>
      <c r="F68" s="1286">
        <v>210549.857249533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69117665</v>
      </c>
      <c r="E73" s="447"/>
      <c r="F73" s="326"/>
    </row>
    <row r="74" spans="1:6">
      <c r="A74" s="1282" t="s">
        <v>63</v>
      </c>
      <c r="B74" s="1282" t="s">
        <v>760</v>
      </c>
      <c r="C74" s="1296" t="s">
        <v>761</v>
      </c>
      <c r="D74" s="1297">
        <v>2078881.9543789162</v>
      </c>
      <c r="E74" s="447"/>
      <c r="F74" s="326"/>
    </row>
    <row r="75" spans="1:6">
      <c r="A75" s="1282" t="s">
        <v>64</v>
      </c>
      <c r="B75" s="1282" t="s">
        <v>758</v>
      </c>
      <c r="C75" s="1296" t="s">
        <v>762</v>
      </c>
      <c r="D75" s="1297">
        <v>61592597</v>
      </c>
      <c r="E75" s="447"/>
      <c r="F75" s="326"/>
    </row>
    <row r="76" spans="1:6">
      <c r="A76" s="1282" t="s">
        <v>64</v>
      </c>
      <c r="B76" s="1282" t="s">
        <v>760</v>
      </c>
      <c r="C76" s="1296" t="s">
        <v>763</v>
      </c>
      <c r="D76" s="1297">
        <v>2088835.9543789162</v>
      </c>
      <c r="E76" s="447"/>
      <c r="F76" s="326"/>
    </row>
    <row r="77" spans="1:6">
      <c r="A77" s="1282" t="s">
        <v>65</v>
      </c>
      <c r="B77" s="1282" t="s">
        <v>758</v>
      </c>
      <c r="C77" s="1296" t="s">
        <v>764</v>
      </c>
      <c r="D77" s="1297">
        <v>260200461</v>
      </c>
      <c r="E77" s="447"/>
      <c r="F77" s="326"/>
    </row>
    <row r="78" spans="1:6">
      <c r="A78" s="1277" t="s">
        <v>65</v>
      </c>
      <c r="B78" s="1277" t="s">
        <v>760</v>
      </c>
      <c r="C78" s="1277" t="s">
        <v>765</v>
      </c>
      <c r="D78" s="1298">
        <v>33240664</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1403680.0912421676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1559.0435006135278</v>
      </c>
      <c r="C91" s="326"/>
      <c r="D91" s="326"/>
      <c r="E91" s="326"/>
      <c r="F91" s="326"/>
    </row>
    <row r="92" spans="1:6">
      <c r="A92" s="1277" t="s">
        <v>68</v>
      </c>
      <c r="B92" s="1278">
        <v>2402.9123595994079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6866</v>
      </c>
      <c r="C97" s="326"/>
      <c r="D97" s="326"/>
      <c r="E97" s="326"/>
      <c r="F97" s="326"/>
    </row>
    <row r="98" spans="1:6">
      <c r="A98" s="1282" t="s">
        <v>71</v>
      </c>
      <c r="B98" s="1283">
        <v>3</v>
      </c>
      <c r="C98" s="326"/>
      <c r="D98" s="326"/>
      <c r="E98" s="326"/>
      <c r="F98" s="326"/>
    </row>
    <row r="99" spans="1:6">
      <c r="A99" s="1282" t="s">
        <v>72</v>
      </c>
      <c r="B99" s="1283">
        <v>130</v>
      </c>
      <c r="C99" s="326"/>
      <c r="D99" s="326"/>
      <c r="E99" s="326"/>
      <c r="F99" s="326"/>
    </row>
    <row r="100" spans="1:6">
      <c r="A100" s="1282" t="s">
        <v>73</v>
      </c>
      <c r="B100" s="1283">
        <v>1177</v>
      </c>
      <c r="C100" s="326"/>
      <c r="D100" s="326"/>
      <c r="E100" s="326"/>
      <c r="F100" s="326"/>
    </row>
    <row r="101" spans="1:6">
      <c r="A101" s="1282" t="s">
        <v>74</v>
      </c>
      <c r="B101" s="1283">
        <v>56</v>
      </c>
      <c r="C101" s="326"/>
      <c r="D101" s="326"/>
      <c r="E101" s="326"/>
      <c r="F101" s="326"/>
    </row>
    <row r="102" spans="1:6">
      <c r="A102" s="1282" t="s">
        <v>75</v>
      </c>
      <c r="B102" s="1283">
        <v>230</v>
      </c>
      <c r="C102" s="326"/>
      <c r="D102" s="326"/>
      <c r="E102" s="326"/>
      <c r="F102" s="326"/>
    </row>
    <row r="103" spans="1:6">
      <c r="A103" s="1282" t="s">
        <v>76</v>
      </c>
      <c r="B103" s="1283">
        <v>159</v>
      </c>
      <c r="C103" s="326"/>
      <c r="D103" s="326"/>
      <c r="E103" s="326"/>
      <c r="F103" s="326"/>
    </row>
    <row r="104" spans="1:6">
      <c r="A104" s="1282" t="s">
        <v>77</v>
      </c>
      <c r="B104" s="1283">
        <v>4800</v>
      </c>
      <c r="C104" s="326"/>
      <c r="D104" s="326"/>
      <c r="E104" s="326"/>
      <c r="F104" s="326"/>
    </row>
    <row r="105" spans="1:6">
      <c r="A105" s="1277" t="s">
        <v>78</v>
      </c>
      <c r="B105" s="128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9</v>
      </c>
      <c r="C123" s="1283">
        <v>3</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67</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175769.05367826569</v>
      </c>
      <c r="C3" s="43" t="s">
        <v>169</v>
      </c>
      <c r="D3" s="43"/>
      <c r="E3" s="156"/>
      <c r="F3" s="43"/>
      <c r="G3" s="43"/>
      <c r="H3" s="43"/>
      <c r="I3" s="43"/>
      <c r="J3" s="43"/>
      <c r="K3" s="96"/>
    </row>
    <row r="4" spans="1:11">
      <c r="A4" s="354" t="s">
        <v>170</v>
      </c>
      <c r="B4" s="49">
        <f>IF(ISERROR('SEAP template'!B78+'SEAP template'!C78),0,'SEAP template'!B78+'SEAP template'!C78)</f>
        <v>3961.9558602129355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0.2160185073721238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3386.3850000000002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3386.3850000000002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0.2160185073721238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731.52183308734948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60573.796178816498</v>
      </c>
      <c r="C5" s="17">
        <f>IF(ISERROR('Eigen informatie GS &amp; warmtenet'!B57),0,'Eigen informatie GS &amp; warmtenet'!B57)</f>
        <v>0</v>
      </c>
      <c r="D5" s="30">
        <f>(SUM(HH_hh_gas_kWh,HH_rest_gas_kWh)/1000)*0.902</f>
        <v>145683.25477556535</v>
      </c>
      <c r="E5" s="17">
        <f>B32*B41</f>
        <v>2766.2575007656087</v>
      </c>
      <c r="F5" s="17">
        <f>B36*B45</f>
        <v>94424.527977353646</v>
      </c>
      <c r="G5" s="18"/>
      <c r="H5" s="17"/>
      <c r="I5" s="17"/>
      <c r="J5" s="17">
        <f>B35*B44+C35*C44</f>
        <v>2126.2009767544637</v>
      </c>
      <c r="K5" s="17"/>
      <c r="L5" s="17"/>
      <c r="M5" s="17"/>
      <c r="N5" s="17">
        <f>B34*B43+C34*C43</f>
        <v>17852.474666026199</v>
      </c>
      <c r="O5" s="17">
        <f>B52*B53*B54</f>
        <v>109.43333333333334</v>
      </c>
      <c r="P5" s="17">
        <f>B60*B61*B62/1000-B60*B61*B62/1000/B63</f>
        <v>266.93333333333334</v>
      </c>
    </row>
    <row r="6" spans="1:16">
      <c r="A6" s="16" t="s">
        <v>621</v>
      </c>
      <c r="B6" s="768">
        <f>kWh_PV_kleiner_dan_10kW</f>
        <v>1559.0435006135278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62132.839679430028</v>
      </c>
      <c r="C8" s="21">
        <f>C5</f>
        <v>0</v>
      </c>
      <c r="D8" s="21">
        <f>D5</f>
        <v>145683.25477556535</v>
      </c>
      <c r="E8" s="21">
        <f>E5</f>
        <v>2766.2575007656087</v>
      </c>
      <c r="F8" s="21">
        <f>F5</f>
        <v>94424.527977353646</v>
      </c>
      <c r="G8" s="21"/>
      <c r="H8" s="21"/>
      <c r="I8" s="21"/>
      <c r="J8" s="21">
        <f>J5</f>
        <v>2126.2009767544637</v>
      </c>
      <c r="K8" s="21"/>
      <c r="L8" s="21">
        <f>L5</f>
        <v>0</v>
      </c>
      <c r="M8" s="21">
        <f>M5</f>
        <v>0</v>
      </c>
      <c r="N8" s="21">
        <f>N5</f>
        <v>17852.474666026199</v>
      </c>
      <c r="O8" s="21">
        <f>O5</f>
        <v>109.43333333333334</v>
      </c>
      <c r="P8" s="21">
        <f>P5</f>
        <v>266.93333333333334</v>
      </c>
    </row>
    <row r="9" spans="1:16">
      <c r="B9" s="19"/>
      <c r="C9" s="19"/>
      <c r="D9" s="256"/>
      <c r="E9" s="19"/>
      <c r="F9" s="19"/>
      <c r="G9" s="19"/>
      <c r="H9" s="19"/>
      <c r="I9" s="19"/>
      <c r="J9" s="19"/>
      <c r="K9" s="19"/>
      <c r="L9" s="19"/>
      <c r="M9" s="19"/>
      <c r="N9" s="19"/>
      <c r="O9" s="19"/>
      <c r="P9" s="19"/>
    </row>
    <row r="10" spans="1:16">
      <c r="A10" s="24" t="s">
        <v>213</v>
      </c>
      <c r="B10" s="25">
        <f ca="1">'EF ele_warmte'!B12</f>
        <v>0.2160185073721238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13421.843286341942</v>
      </c>
      <c r="C12" s="23">
        <f ca="1">C10*C8</f>
        <v>0</v>
      </c>
      <c r="D12" s="23">
        <f>D8*D10</f>
        <v>29428.017464664204</v>
      </c>
      <c r="E12" s="23">
        <f>E10*E8</f>
        <v>627.94045267379317</v>
      </c>
      <c r="F12" s="23">
        <f>F10*F8</f>
        <v>25211.348969953426</v>
      </c>
      <c r="G12" s="23"/>
      <c r="H12" s="23"/>
      <c r="I12" s="23"/>
      <c r="J12" s="23">
        <f>J10*J8</f>
        <v>752.67514577108011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14941</v>
      </c>
      <c r="C26" s="36"/>
      <c r="D26" s="226"/>
    </row>
    <row r="27" spans="1:5" s="15" customFormat="1">
      <c r="A27" s="228" t="s">
        <v>701</v>
      </c>
      <c r="B27" s="37">
        <f>SUM(HH_hh_gas_aantal,HH_rest_gas_aantal)</f>
        <v>9680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9196</v>
      </c>
      <c r="C31" s="34" t="s">
        <v>110</v>
      </c>
      <c r="D31" s="172"/>
    </row>
    <row r="32" spans="1:5">
      <c r="A32" s="169" t="s">
        <v>72</v>
      </c>
      <c r="B32" s="33">
        <f>IF((B21*($B$26-($B$27-0.05*$B$27)-$B$60))&lt;0,0,B21*($B$26-($B$27-0.05*$B$27)-$B$60))</f>
        <v>40.630317940702682</v>
      </c>
      <c r="C32" s="34" t="s">
        <v>110</v>
      </c>
      <c r="D32" s="172"/>
    </row>
    <row r="33" spans="1:6">
      <c r="A33" s="169" t="s">
        <v>73</v>
      </c>
      <c r="B33" s="33">
        <f>IF((B22*($B$26-($B$27-0.05*$B$27)-$B$60))&lt;0,0,B22*($B$26-($B$27-0.05*$B$27)-$B$60))</f>
        <v>1164.4593842461254</v>
      </c>
      <c r="C33" s="34" t="s">
        <v>110</v>
      </c>
      <c r="D33" s="172"/>
    </row>
    <row r="34" spans="1:6">
      <c r="A34" s="169" t="s">
        <v>74</v>
      </c>
      <c r="B34" s="33">
        <f>IF((B24*($B$26-($B$27-0.05*$B$27)-$B$60))&lt;0,0,B24*($B$26-($B$27-0.05*$B$27)-$B$60))</f>
        <v>232.20550759703383</v>
      </c>
      <c r="C34" s="33">
        <f>B26*C24</f>
        <v>3055.1000416809184</v>
      </c>
      <c r="D34" s="231"/>
    </row>
    <row r="35" spans="1:6">
      <c r="A35" s="169" t="s">
        <v>76</v>
      </c>
      <c r="B35" s="33">
        <f>IF((B19*($B$26-($B$27-0.05*$B$27)-$B$60))&lt;0,0,B19*($B$26-($B$27-0.05*$B$27)-$B$60))</f>
        <v>120.92356529971038</v>
      </c>
      <c r="C35" s="33">
        <f>B35/2</f>
        <v>60.461782649855188</v>
      </c>
      <c r="D35" s="231"/>
    </row>
    <row r="36" spans="1:6">
      <c r="A36" s="169" t="s">
        <v>77</v>
      </c>
      <c r="B36" s="33">
        <f>IF((B18*($B$26-($B$27-0.05*$B$27)-$B$60))&lt;0,0,B18*($B$26-($B$27-0.05*$B$27)-$B$60))</f>
        <v>4172.7812249164281</v>
      </c>
      <c r="C36" s="34" t="s">
        <v>110</v>
      </c>
      <c r="D36" s="172"/>
    </row>
    <row r="37" spans="1:6">
      <c r="A37" s="169" t="s">
        <v>78</v>
      </c>
      <c r="B37" s="33">
        <f>B60</f>
        <v>14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78437.078930843534</v>
      </c>
      <c r="C5" s="17">
        <f>IF(ISERROR('Eigen informatie GS &amp; warmtenet'!B58),0,'Eigen informatie GS &amp; warmtenet'!B58)</f>
        <v>0</v>
      </c>
      <c r="D5" s="30">
        <f>SUM(D6:D12)</f>
        <v>79057.803876826089</v>
      </c>
      <c r="E5" s="17">
        <f>SUM(E6:E12)</f>
        <v>1700.3600515692578</v>
      </c>
      <c r="F5" s="17">
        <f>SUM(F6:F12)</f>
        <v>13811.696677719578</v>
      </c>
      <c r="G5" s="18"/>
      <c r="H5" s="17"/>
      <c r="I5" s="17"/>
      <c r="J5" s="17">
        <f>SUM(J6:J12)</f>
        <v>0</v>
      </c>
      <c r="K5" s="17"/>
      <c r="L5" s="17"/>
      <c r="M5" s="17"/>
      <c r="N5" s="17">
        <f>SUM(N6:N12)</f>
        <v>2544.3202071275318</v>
      </c>
      <c r="O5" s="17">
        <f>B38*B39*B40</f>
        <v>0</v>
      </c>
      <c r="P5" s="17">
        <f>B46*B47*B48/1000-B46*B47*B48/1000/B49</f>
        <v>38.133333333333333</v>
      </c>
      <c r="R5" s="32"/>
    </row>
    <row r="6" spans="1:18">
      <c r="A6" s="32" t="s">
        <v>53</v>
      </c>
      <c r="B6" s="37">
        <f>B26</f>
        <v>29755.967018147599</v>
      </c>
      <c r="C6" s="33"/>
      <c r="D6" s="37">
        <f>IF(ISERROR(TER_kantoor_gas_kWh/1000),0,TER_kantoor_gas_kWh/1000)*0.902</f>
        <v>36559.789468625946</v>
      </c>
      <c r="E6" s="33">
        <f>$C$26*'E Balans VL '!I12/100/3.6*1000000</f>
        <v>1041.5758980703019</v>
      </c>
      <c r="F6" s="33">
        <f>$C$26*('E Balans VL '!L12+'E Balans VL '!N12)/100/3.6*1000000</f>
        <v>4511.6434543028563</v>
      </c>
      <c r="G6" s="34"/>
      <c r="H6" s="33"/>
      <c r="I6" s="33"/>
      <c r="J6" s="33">
        <f>$C$26*('E Balans VL '!D12+'E Balans VL '!E12)/100/3.6*1000000</f>
        <v>0</v>
      </c>
      <c r="K6" s="33"/>
      <c r="L6" s="33"/>
      <c r="M6" s="33"/>
      <c r="N6" s="33">
        <f>$C$26*'E Balans VL '!Y12/100/3.6*1000000</f>
        <v>230.00431168891947</v>
      </c>
      <c r="O6" s="33"/>
      <c r="P6" s="33"/>
      <c r="R6" s="32"/>
    </row>
    <row r="7" spans="1:18">
      <c r="A7" s="32" t="s">
        <v>52</v>
      </c>
      <c r="B7" s="37">
        <f t="shared" ref="B7:B12" si="0">B27</f>
        <v>2727.4023664669799</v>
      </c>
      <c r="C7" s="33"/>
      <c r="D7" s="37">
        <f>IF(ISERROR(TER_horeca_gas_kWh/1000),0,TER_horeca_gas_kWh/1000)*0.902</f>
        <v>4206.5020426447454</v>
      </c>
      <c r="E7" s="33">
        <f>$C$27*'E Balans VL '!I9/100/3.6*1000000</f>
        <v>153.86175908803685</v>
      </c>
      <c r="F7" s="33">
        <f>$C$27*('E Balans VL '!L9+'E Balans VL '!N9)/100/3.6*1000000</f>
        <v>475.12858587703704</v>
      </c>
      <c r="G7" s="34"/>
      <c r="H7" s="33"/>
      <c r="I7" s="33"/>
      <c r="J7" s="33">
        <f>$C$27*('E Balans VL '!D9+'E Balans VL '!E9)/100/3.6*1000000</f>
        <v>0</v>
      </c>
      <c r="K7" s="33"/>
      <c r="L7" s="33"/>
      <c r="M7" s="33"/>
      <c r="N7" s="33">
        <f>$C$27*'E Balans VL '!Y9/100/3.6*1000000</f>
        <v>0</v>
      </c>
      <c r="O7" s="33"/>
      <c r="P7" s="33"/>
      <c r="R7" s="32"/>
    </row>
    <row r="8" spans="1:18">
      <c r="A8" s="6" t="s">
        <v>51</v>
      </c>
      <c r="B8" s="37">
        <f t="shared" si="0"/>
        <v>21110.2838237984</v>
      </c>
      <c r="C8" s="33"/>
      <c r="D8" s="37">
        <f>IF(ISERROR(TER_handel_gas_kWh/1000),0,TER_handel_gas_kWh/1000)*0.902</f>
        <v>19191.649944972429</v>
      </c>
      <c r="E8" s="33">
        <f>$C$28*'E Balans VL '!I13/100/3.6*1000000</f>
        <v>108.37805237765095</v>
      </c>
      <c r="F8" s="33">
        <f>$C$28*('E Balans VL '!L13+'E Balans VL '!N13)/100/3.6*1000000</f>
        <v>3254.8795782600405</v>
      </c>
      <c r="G8" s="34"/>
      <c r="H8" s="33"/>
      <c r="I8" s="33"/>
      <c r="J8" s="33">
        <f>$C$28*('E Balans VL '!D13+'E Balans VL '!E13)/100/3.6*1000000</f>
        <v>0</v>
      </c>
      <c r="K8" s="33"/>
      <c r="L8" s="33"/>
      <c r="M8" s="33"/>
      <c r="N8" s="33">
        <f>$C$28*'E Balans VL '!Y13/100/3.6*1000000</f>
        <v>9.8735374300900407</v>
      </c>
      <c r="O8" s="33"/>
      <c r="P8" s="33"/>
      <c r="R8" s="32"/>
    </row>
    <row r="9" spans="1:18">
      <c r="A9" s="32" t="s">
        <v>50</v>
      </c>
      <c r="B9" s="37">
        <f t="shared" si="0"/>
        <v>456.42290100995996</v>
      </c>
      <c r="C9" s="33"/>
      <c r="D9" s="37">
        <f>IF(ISERROR(TER_gezond_gas_kWh/1000),0,TER_gezond_gas_kWh/1000)*0.902</f>
        <v>1000.8298127356926</v>
      </c>
      <c r="E9" s="33">
        <f>$C$29*'E Balans VL '!I10/100/3.6*1000000</f>
        <v>0.18918404194122559</v>
      </c>
      <c r="F9" s="33">
        <f>$C$29*('E Balans VL '!L10+'E Balans VL '!N10)/100/3.6*1000000</f>
        <v>112.41041454116818</v>
      </c>
      <c r="G9" s="34"/>
      <c r="H9" s="33"/>
      <c r="I9" s="33"/>
      <c r="J9" s="33">
        <f>$C$29*('E Balans VL '!D10+'E Balans VL '!E10)/100/3.6*1000000</f>
        <v>0</v>
      </c>
      <c r="K9" s="33"/>
      <c r="L9" s="33"/>
      <c r="M9" s="33"/>
      <c r="N9" s="33">
        <f>$C$29*'E Balans VL '!Y10/100/3.6*1000000</f>
        <v>3.944623568512704</v>
      </c>
      <c r="O9" s="33"/>
      <c r="P9" s="33"/>
      <c r="R9" s="32"/>
    </row>
    <row r="10" spans="1:18">
      <c r="A10" s="32" t="s">
        <v>49</v>
      </c>
      <c r="B10" s="37">
        <f t="shared" si="0"/>
        <v>7984.7977074754708</v>
      </c>
      <c r="C10" s="33"/>
      <c r="D10" s="37">
        <f>IF(ISERROR(TER_ander_gas_kWh/1000),0,TER_ander_gas_kWh/1000)*0.902</f>
        <v>2706.9002202215775</v>
      </c>
      <c r="E10" s="33">
        <f>$C$30*'E Balans VL '!I14/100/3.6*1000000</f>
        <v>48.675523831268514</v>
      </c>
      <c r="F10" s="33">
        <f>$C$30*('E Balans VL '!L14+'E Balans VL '!N14)/100/3.6*1000000</f>
        <v>2116.8792515729042</v>
      </c>
      <c r="G10" s="34"/>
      <c r="H10" s="33"/>
      <c r="I10" s="33"/>
      <c r="J10" s="33">
        <f>$C$30*('E Balans VL '!D14+'E Balans VL '!E14)/100/3.6*1000000</f>
        <v>0</v>
      </c>
      <c r="K10" s="33"/>
      <c r="L10" s="33"/>
      <c r="M10" s="33"/>
      <c r="N10" s="33">
        <f>$C$30*'E Balans VL '!Y14/100/3.6*1000000</f>
        <v>1840.3233327942196</v>
      </c>
      <c r="O10" s="33"/>
      <c r="P10" s="33"/>
      <c r="R10" s="32"/>
    </row>
    <row r="11" spans="1:18">
      <c r="A11" s="32" t="s">
        <v>54</v>
      </c>
      <c r="B11" s="37">
        <f t="shared" si="0"/>
        <v>198.17931189041599</v>
      </c>
      <c r="C11" s="33"/>
      <c r="D11" s="37">
        <f>IF(ISERROR(TER_onderwijs_gas_kWh/1000),0,TER_onderwijs_gas_kWh/1000)*0.902</f>
        <v>328.14687026809389</v>
      </c>
      <c r="E11" s="33">
        <f>$C$31*'E Balans VL '!I11/100/3.6*1000000</f>
        <v>0.15102295496628373</v>
      </c>
      <c r="F11" s="33">
        <f>$C$31*('E Balans VL '!L11+'E Balans VL '!N11)/100/3.6*1000000</f>
        <v>143.41341076208585</v>
      </c>
      <c r="G11" s="34"/>
      <c r="H11" s="33"/>
      <c r="I11" s="33"/>
      <c r="J11" s="33">
        <f>$C$31*('E Balans VL '!D11+'E Balans VL '!E11)/100/3.6*1000000</f>
        <v>0</v>
      </c>
      <c r="K11" s="33"/>
      <c r="L11" s="33"/>
      <c r="M11" s="33"/>
      <c r="N11" s="33">
        <f>$C$31*'E Balans VL '!Y11/100/3.6*1000000</f>
        <v>0.58408179613353273</v>
      </c>
      <c r="O11" s="33"/>
      <c r="P11" s="33"/>
      <c r="R11" s="32"/>
    </row>
    <row r="12" spans="1:18">
      <c r="A12" s="32" t="s">
        <v>255</v>
      </c>
      <c r="B12" s="37">
        <f t="shared" si="0"/>
        <v>16204.025802054699</v>
      </c>
      <c r="C12" s="33"/>
      <c r="D12" s="37">
        <f>IF(ISERROR(TER_rest_gas_kWh/1000),0,TER_rest_gas_kWh/1000)*0.902</f>
        <v>15063.985517357602</v>
      </c>
      <c r="E12" s="33">
        <f>$C$32*'E Balans VL '!I8/100/3.6*1000000</f>
        <v>347.52861120509203</v>
      </c>
      <c r="F12" s="33">
        <f>$C$32*('E Balans VL '!L8+'E Balans VL '!N8)/100/3.6*1000000</f>
        <v>3197.3419824034854</v>
      </c>
      <c r="G12" s="34"/>
      <c r="H12" s="33"/>
      <c r="I12" s="33"/>
      <c r="J12" s="33">
        <f>$C$32*('E Balans VL '!D8+'E Balans VL '!E8)/100/3.6*1000000</f>
        <v>0</v>
      </c>
      <c r="K12" s="33"/>
      <c r="L12" s="33"/>
      <c r="M12" s="33"/>
      <c r="N12" s="33">
        <f>$C$32*'E Balans VL '!Y8/100/3.6*1000000</f>
        <v>459.59031984965645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78437.078930843534</v>
      </c>
      <c r="C16" s="21">
        <f ca="1">C5+C13+C14</f>
        <v>0</v>
      </c>
      <c r="D16" s="21">
        <f t="shared" ref="D16:N16" ca="1" si="1">MAX((D5+D13+D14),0)</f>
        <v>79057.803876826089</v>
      </c>
      <c r="E16" s="21">
        <f t="shared" si="1"/>
        <v>1700.3600515692578</v>
      </c>
      <c r="F16" s="21">
        <f t="shared" ca="1" si="1"/>
        <v>13811.696677719578</v>
      </c>
      <c r="G16" s="21">
        <f t="shared" si="1"/>
        <v>0</v>
      </c>
      <c r="H16" s="21">
        <f t="shared" si="1"/>
        <v>0</v>
      </c>
      <c r="I16" s="21">
        <f t="shared" si="1"/>
        <v>0</v>
      </c>
      <c r="J16" s="21">
        <f t="shared" si="1"/>
        <v>0</v>
      </c>
      <c r="K16" s="21">
        <f t="shared" si="1"/>
        <v>0</v>
      </c>
      <c r="L16" s="21">
        <f t="shared" ca="1" si="1"/>
        <v>0</v>
      </c>
      <c r="M16" s="21">
        <f t="shared" si="1"/>
        <v>0</v>
      </c>
      <c r="N16" s="21">
        <f t="shared" ca="1" si="1"/>
        <v>2544.3202071275318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0.2160185073721238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16943.860713270282</v>
      </c>
      <c r="C20" s="23">
        <f t="shared" ref="C20:P20" ca="1" si="2">C16*C18</f>
        <v>0</v>
      </c>
      <c r="D20" s="23">
        <f t="shared" ca="1" si="2"/>
        <v>15969.676383118871</v>
      </c>
      <c r="E20" s="23">
        <f t="shared" si="2"/>
        <v>385.98173170622152</v>
      </c>
      <c r="F20" s="23">
        <f t="shared" ca="1" si="2"/>
        <v>3687.7230129511272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29755.967018147599</v>
      </c>
      <c r="C26" s="39">
        <f>IF(ISERROR(B26*3.6/1000000/'E Balans VL '!Z12*100),0,B26*3.6/1000000/'E Balans VL '!Z12*100)</f>
        <v>0.62616497934005111</v>
      </c>
      <c r="D26" s="234" t="s">
        <v>706</v>
      </c>
      <c r="F26" s="6"/>
    </row>
    <row r="27" spans="1:18">
      <c r="A27" s="229" t="s">
        <v>52</v>
      </c>
      <c r="B27" s="33">
        <f>IF(ISERROR(TER_horeca_ele_kWh/1000),0,TER_horeca_ele_kWh/1000)</f>
        <v>2727.4023664669799</v>
      </c>
      <c r="C27" s="39">
        <f>IF(ISERROR(B27*3.6/1000000/'E Balans VL '!Z9*100),0,B27*3.6/1000000/'E Balans VL '!Z9*100)</f>
        <v>0.23092149443908219</v>
      </c>
      <c r="D27" s="234" t="s">
        <v>706</v>
      </c>
      <c r="F27" s="6"/>
    </row>
    <row r="28" spans="1:18">
      <c r="A28" s="169" t="s">
        <v>51</v>
      </c>
      <c r="B28" s="33">
        <f>IF(ISERROR(TER_handel_ele_kWh/1000),0,TER_handel_ele_kWh/1000)</f>
        <v>21110.2838237984</v>
      </c>
      <c r="C28" s="39">
        <f>IF(ISERROR(B28*3.6/1000000/'E Balans VL '!Z13*100),0,B28*3.6/1000000/'E Balans VL '!Z13*100)</f>
        <v>0.58443528855195692</v>
      </c>
      <c r="D28" s="234" t="s">
        <v>706</v>
      </c>
      <c r="F28" s="6"/>
    </row>
    <row r="29" spans="1:18">
      <c r="A29" s="229" t="s">
        <v>50</v>
      </c>
      <c r="B29" s="33">
        <f>IF(ISERROR(TER_gezond_ele_kWh/1000),0,TER_gezond_ele_kWh/1000)</f>
        <v>456.42290100995996</v>
      </c>
      <c r="C29" s="39">
        <f>IF(ISERROR(B29*3.6/1000000/'E Balans VL '!Z10*100),0,B29*3.6/1000000/'E Balans VL '!Z10*100)</f>
        <v>5.9329917093488706E-2</v>
      </c>
      <c r="D29" s="234" t="s">
        <v>706</v>
      </c>
      <c r="F29" s="6"/>
    </row>
    <row r="30" spans="1:18">
      <c r="A30" s="229" t="s">
        <v>49</v>
      </c>
      <c r="B30" s="33">
        <f>IF(ISERROR(TER_ander_ele_kWh/1000),0,TER_ander_ele_kWh/1000)</f>
        <v>7984.7977074754708</v>
      </c>
      <c r="C30" s="39">
        <f>IF(ISERROR(B30*3.6/1000000/'E Balans VL '!Z14*100),0,B30*3.6/1000000/'E Balans VL '!Z14*100)</f>
        <v>0.61889504851814969</v>
      </c>
      <c r="D30" s="234" t="s">
        <v>706</v>
      </c>
      <c r="F30" s="6"/>
    </row>
    <row r="31" spans="1:18">
      <c r="A31" s="229" t="s">
        <v>54</v>
      </c>
      <c r="B31" s="33">
        <f>IF(ISERROR(TER_onderwijs_ele_kWh/1000),0,TER_onderwijs_ele_kWh/1000)</f>
        <v>198.17931189041599</v>
      </c>
      <c r="C31" s="39">
        <f>IF(ISERROR(B31*3.6/1000000/'E Balans VL '!Z11*100),0,B31*3.6/1000000/'E Balans VL '!Z11*100)</f>
        <v>3.791507926864867E-2</v>
      </c>
      <c r="D31" s="234" t="s">
        <v>706</v>
      </c>
    </row>
    <row r="32" spans="1:18">
      <c r="A32" s="229" t="s">
        <v>255</v>
      </c>
      <c r="B32" s="33">
        <f>IF(ISERROR(TER_rest_ele_kWh/1000),0,TER_rest_ele_kWh/1000)</f>
        <v>16204.025802054699</v>
      </c>
      <c r="C32" s="39">
        <f>IF(ISERROR(B32*3.6/1000000/'E Balans VL '!Z8*100),0,B32*3.6/1000000/'E Balans VL '!Z8*100)</f>
        <v>0.13361463606154161</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27751.809653309298</v>
      </c>
      <c r="C5" s="17">
        <f>IF(ISERROR('Eigen informatie GS &amp; warmtenet'!B59),0,'Eigen informatie GS &amp; warmtenet'!B59)</f>
        <v>0</v>
      </c>
      <c r="D5" s="30">
        <f>SUM(D6:D15)</f>
        <v>37353.740517115846</v>
      </c>
      <c r="E5" s="17">
        <f>SUM(E6:E15)</f>
        <v>261.01911971535793</v>
      </c>
      <c r="F5" s="17">
        <f>SUM(F6:F15)</f>
        <v>5878.3153260262434</v>
      </c>
      <c r="G5" s="18"/>
      <c r="H5" s="17"/>
      <c r="I5" s="17"/>
      <c r="J5" s="17">
        <f>SUM(J6:J15)</f>
        <v>178.55312227312854</v>
      </c>
      <c r="K5" s="17"/>
      <c r="L5" s="17"/>
      <c r="M5" s="17"/>
      <c r="N5" s="17">
        <f>SUM(N6:N15)</f>
        <v>526.65849684900229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623.94595653202305</v>
      </c>
      <c r="C9" s="33"/>
      <c r="D9" s="37">
        <f>IF( ISERROR(IND_andere_gas_kWh/1000),0,IND_andere_gas_kWh/1000)*0.902</f>
        <v>838.60053660897768</v>
      </c>
      <c r="E9" s="33">
        <f>C31*'E Balans VL '!I19/100/3.6*1000000</f>
        <v>10.479936698156679</v>
      </c>
      <c r="F9" s="33">
        <f>C31*'E Balans VL '!L19/100/3.6*1000000+C31*'E Balans VL '!N19/100/3.6*1000000</f>
        <v>487.7654115085362</v>
      </c>
      <c r="G9" s="34"/>
      <c r="H9" s="33"/>
      <c r="I9" s="33"/>
      <c r="J9" s="40">
        <f>C31*'E Balans VL '!D19/100/3.6*1000000+C31*'E Balans VL '!E19/100/3.6*1000000</f>
        <v>5.6274417468064816E-2</v>
      </c>
      <c r="K9" s="33"/>
      <c r="L9" s="33"/>
      <c r="M9" s="33"/>
      <c r="N9" s="33">
        <f>C31*'E Balans VL '!Y19/100/3.6*1000000</f>
        <v>46.244405710613229</v>
      </c>
      <c r="O9" s="33"/>
      <c r="P9" s="33"/>
      <c r="R9" s="32"/>
    </row>
    <row r="10" spans="1:18">
      <c r="A10" s="6" t="s">
        <v>40</v>
      </c>
      <c r="B10" s="37">
        <f t="shared" si="0"/>
        <v>926.5388118225311</v>
      </c>
      <c r="C10" s="33"/>
      <c r="D10" s="37">
        <f>IF( ISERROR(IND_voed_gas_kWh/1000),0,IND_voed_gas_kWh/1000)*0.902</f>
        <v>545.838632941166</v>
      </c>
      <c r="E10" s="33">
        <f>C32*'E Balans VL '!I20/100/3.6*1000000</f>
        <v>8.4533550958840316</v>
      </c>
      <c r="F10" s="33">
        <f>C32*'E Balans VL '!L20/100/3.6*1000000+C32*'E Balans VL '!N20/100/3.6*1000000</f>
        <v>149.47969078501382</v>
      </c>
      <c r="G10" s="34"/>
      <c r="H10" s="33"/>
      <c r="I10" s="33"/>
      <c r="J10" s="40">
        <f>C32*'E Balans VL '!D20/100/3.6*1000000+C32*'E Balans VL '!E20/100/3.6*1000000</f>
        <v>3.816094295334763</v>
      </c>
      <c r="K10" s="33"/>
      <c r="L10" s="33"/>
      <c r="M10" s="33"/>
      <c r="N10" s="33">
        <f>C32*'E Balans VL '!Y20/100/3.6*1000000</f>
        <v>13.554532220605539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258.711491534142</v>
      </c>
      <c r="C13" s="33"/>
      <c r="D13" s="37">
        <f>IF( ISERROR(IND_papier_gas_kWh/1000),0,IND_papier_gas_kWh/1000)*0.902</f>
        <v>0</v>
      </c>
      <c r="E13" s="33">
        <f>C35*'E Balans VL '!I23/100/3.6*1000000</f>
        <v>7.9598774176455871</v>
      </c>
      <c r="F13" s="33">
        <f>C35*'E Balans VL '!L23/100/3.6*1000000+C35*'E Balans VL '!N23/100/3.6*1000000</f>
        <v>54.933491085138044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25942.613393420601</v>
      </c>
      <c r="C15" s="33"/>
      <c r="D15" s="37">
        <f>IF( ISERROR(IND_rest_gas_kWh/1000),0,IND_rest_gas_kWh/1000)*0.902</f>
        <v>35969.301347565699</v>
      </c>
      <c r="E15" s="33">
        <f>C37*'E Balans VL '!I15/100/3.6*1000000</f>
        <v>234.12595050367162</v>
      </c>
      <c r="F15" s="33">
        <f>C37*'E Balans VL '!L15/100/3.6*1000000+C37*'E Balans VL '!N15/100/3.6*1000000</f>
        <v>5186.1367326475556</v>
      </c>
      <c r="G15" s="34"/>
      <c r="H15" s="33"/>
      <c r="I15" s="33"/>
      <c r="J15" s="40">
        <f>C37*'E Balans VL '!D15/100/3.6*1000000+C37*'E Balans VL '!E15/100/3.6*1000000</f>
        <v>174.68075356032571</v>
      </c>
      <c r="K15" s="33"/>
      <c r="L15" s="33"/>
      <c r="M15" s="33"/>
      <c r="N15" s="33">
        <f>C37*'E Balans VL '!Y15/100/3.6*1000000</f>
        <v>466.85955891778354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27751.809653309298</v>
      </c>
      <c r="C18" s="21">
        <f>C5+C16</f>
        <v>0</v>
      </c>
      <c r="D18" s="21">
        <f>MAX((D5+D16),0)</f>
        <v>37353.740517115846</v>
      </c>
      <c r="E18" s="21">
        <f>MAX((E5+E16),0)</f>
        <v>261.01911971535793</v>
      </c>
      <c r="F18" s="21">
        <f>MAX((F5+F16),0)</f>
        <v>5878.3153260262434</v>
      </c>
      <c r="G18" s="21"/>
      <c r="H18" s="21"/>
      <c r="I18" s="21"/>
      <c r="J18" s="21">
        <f>MAX((J5+J16),0)</f>
        <v>178.55312227312854</v>
      </c>
      <c r="K18" s="21"/>
      <c r="L18" s="21">
        <f>MAX((L5+L16),0)</f>
        <v>0</v>
      </c>
      <c r="M18" s="21"/>
      <c r="N18" s="21">
        <f>MAX((N5+N16),0)</f>
        <v>526.65849684900229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0.2160185073721238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5994.9044981831712</v>
      </c>
      <c r="C22" s="23">
        <f ca="1">C18*C20</f>
        <v>0</v>
      </c>
      <c r="D22" s="23">
        <f>D18*D20</f>
        <v>7545.4555844574015</v>
      </c>
      <c r="E22" s="23">
        <f>E18*E20</f>
        <v>59.251340175386254</v>
      </c>
      <c r="F22" s="23">
        <f>F18*F20</f>
        <v>1569.5101920490072</v>
      </c>
      <c r="G22" s="23"/>
      <c r="H22" s="23"/>
      <c r="I22" s="23"/>
      <c r="J22" s="23">
        <f>J18*J20</f>
        <v>63.207805284687495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623.94595653202305</v>
      </c>
      <c r="C31" s="39">
        <f>IF(ISERROR(B31*3.6/1000000/'E Balans VL '!Z19*100),0,B31*3.6/1000000/'E Balans VL '!Z19*100)</f>
        <v>2.7657051588400459E-2</v>
      </c>
      <c r="D31" s="234" t="s">
        <v>706</v>
      </c>
    </row>
    <row r="32" spans="1:18">
      <c r="A32" s="169" t="s">
        <v>40</v>
      </c>
      <c r="B32" s="37">
        <f>IF( ISERROR(IND_voed_ele_kWh/1000),0,IND_voed_ele_kWh/1000)</f>
        <v>926.5388118225311</v>
      </c>
      <c r="C32" s="39">
        <f>IF(ISERROR(B32*3.6/1000000/'E Balans VL '!Z20*100),0,B32*3.6/1000000/'E Balans VL '!Z20*100)</f>
        <v>3.0949054210724705E-2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258.711491534142</v>
      </c>
      <c r="C35" s="39">
        <f>IF(ISERROR(B35*3.6/1000000/'E Balans VL '!Z22*100),0,B35*3.6/1000000/'E Balans VL '!Z22*100)</f>
        <v>5.03165433191929E-2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25942.613393420601</v>
      </c>
      <c r="C37" s="39">
        <f>IF(ISERROR(B37*3.6/1000000/'E Balans VL '!Z15*100),0,B37*3.6/1000000/'E Balans VL '!Z15*100)</f>
        <v>0.19297077951458946</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671.528812370845</v>
      </c>
      <c r="C5" s="17">
        <f>'Eigen informatie GS &amp; warmtenet'!B60</f>
        <v>0</v>
      </c>
      <c r="D5" s="30">
        <f>IF(ISERROR(SUM(LB_lb_gas_kWh,LB_rest_gas_kWh)/1000),0,SUM(LB_lb_gas_kWh,LB_rest_gas_kWh)/1000)*0.902</f>
        <v>98.631054155564328</v>
      </c>
      <c r="E5" s="17">
        <f>B17*'E Balans VL '!I25/3.6*1000000/100</f>
        <v>7.0323951032068033</v>
      </c>
      <c r="F5" s="17">
        <f>B17*('E Balans VL '!L25/3.6*1000000+'E Balans VL '!N25/3.6*1000000)/100</f>
        <v>2874.6535704773287</v>
      </c>
      <c r="G5" s="18"/>
      <c r="H5" s="17"/>
      <c r="I5" s="17"/>
      <c r="J5" s="17">
        <f>('E Balans VL '!D25+'E Balans VL '!E25)/3.6*1000000*landbouw!B17/100</f>
        <v>59.973541960144097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671.528812370845</v>
      </c>
      <c r="C8" s="21">
        <f>C5+C6</f>
        <v>0</v>
      </c>
      <c r="D8" s="21">
        <f>MAX((D5+D6),0)</f>
        <v>98.631054155564328</v>
      </c>
      <c r="E8" s="21">
        <f>MAX((E5+E6),0)</f>
        <v>7.0323951032068033</v>
      </c>
      <c r="F8" s="21">
        <f>MAX((F5+F6),0)</f>
        <v>2874.6535704773287</v>
      </c>
      <c r="G8" s="21"/>
      <c r="H8" s="21"/>
      <c r="I8" s="21"/>
      <c r="J8" s="21">
        <f>MAX((J5+J6),0)</f>
        <v>59.973541960144097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0.2160185073721238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145.06265170572493</v>
      </c>
      <c r="C12" s="23">
        <f ca="1">C8*C10</f>
        <v>0</v>
      </c>
      <c r="D12" s="23">
        <f>D8*D10</f>
        <v>19.923472939423995</v>
      </c>
      <c r="E12" s="23">
        <f>E8*E10</f>
        <v>1.5963536884279443</v>
      </c>
      <c r="F12" s="23">
        <f>F8*F10</f>
        <v>767.53250331744675</v>
      </c>
      <c r="G12" s="23"/>
      <c r="H12" s="23"/>
      <c r="I12" s="23"/>
      <c r="J12" s="23">
        <f>J8*J10</f>
        <v>21.23063385389101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0.10336124712547576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45.596028692084772</v>
      </c>
      <c r="C26" s="244">
        <f>B26*'GWP N2O_CH4'!B5</f>
        <v>957.5166025337802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6.4269142669314601</v>
      </c>
      <c r="C27" s="244">
        <f>B27*'GWP N2O_CH4'!B5</f>
        <v>134.96519960556066</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1.0514577031158387</v>
      </c>
      <c r="C28" s="244">
        <f>B28*'GWP N2O_CH4'!B4</f>
        <v>325.95188796591003</v>
      </c>
      <c r="D28" s="50"/>
    </row>
    <row r="29" spans="1:4">
      <c r="A29" s="41" t="s">
        <v>272</v>
      </c>
      <c r="B29" s="244">
        <f>B34*'ha_N2O bodem landbouw'!B4</f>
        <v>13.450608236884207</v>
      </c>
      <c r="C29" s="244">
        <f>B29*'GWP N2O_CH4'!B4</f>
        <v>4169.6885534341045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2.2228896673545978E-3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1.5633121908056571E-5</v>
      </c>
      <c r="C5" s="435" t="s">
        <v>210</v>
      </c>
      <c r="D5" s="420">
        <f>SUM(D6:D11)</f>
        <v>5.1770914065107365E-5</v>
      </c>
      <c r="E5" s="420">
        <f>SUM(E6:E11)</f>
        <v>6.0560884041032511E-3</v>
      </c>
      <c r="F5" s="433" t="s">
        <v>210</v>
      </c>
      <c r="G5" s="420">
        <f>SUM(G6:G11)</f>
        <v>1.1131287287600535</v>
      </c>
      <c r="H5" s="420">
        <f>SUM(H6:H11)</f>
        <v>0.17671234006207642</v>
      </c>
      <c r="I5" s="435" t="s">
        <v>210</v>
      </c>
      <c r="J5" s="435" t="s">
        <v>210</v>
      </c>
      <c r="K5" s="435" t="s">
        <v>210</v>
      </c>
      <c r="L5" s="435" t="s">
        <v>210</v>
      </c>
      <c r="M5" s="420">
        <f>SUM(M6:M11)</f>
        <v>5.6085865350107997E-2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2.6265749027457737E-6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8.3163165452672962E-6</v>
      </c>
      <c r="E6" s="423">
        <f>vkm_GW_PW*SUMIFS(TableVerdeelsleutelVkm[LPG],TableVerdeelsleutelVkm[Voertuigtype],"Lichte voertuigen")*SUMIFS(TableECFTransport[EnergieConsumptieFactor (PJ per km)],TableECFTransport[Index],CONCATENATE($A6,"_LPG_LPG"))</f>
        <v>8.6663249961976569E-4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0.11543566499430101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2.7692766776813749E-2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6.2474350903943396E-3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4.3231518023726304E-8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1.94877810575841E-2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5.276313081169941E-7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8.3954171171727666E-4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2.3406110359071685E-6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1.2594716917622603E-5</v>
      </c>
      <c r="E8" s="423">
        <f>vkm_NGW_PW*SUMIFS(TableVerdeelsleutelVkm[LPG],TableVerdeelsleutelVkm[Voertuigtype],"Lichte voertuigen")*SUMIFS(TableECFTransport[EnergieConsumptieFactor (PJ per km)],TableECFTransport[Index],CONCATENATE($A8,"_LPG_LPG"))</f>
        <v>1.2386102133856828E-3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0.15620848375128762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3.9657292536799373E-2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8.5545628187628561E-3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4.3438517045244448E-8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2.7122886891374081E-2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6.3991384787306401E-7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1.1684608994927828E-3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9.8880076539836879E-6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3.0859880602217465E-5</v>
      </c>
      <c r="E10" s="423">
        <f>vkm_SW_PW*SUMIFS(TableVerdeelsleutelVkm[LPG],TableVerdeelsleutelVkm[Voertuigtype],"Lichte voertuigen")*SUMIFS(TableECFTransport[EnergieConsumptieFactor (PJ per km)],TableECFTransport[Index],CONCATENATE($A10,"_LPG_LPG"))</f>
        <v>3.9508456910978028E-3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0.49420256444409211</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0.1093524295823553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2.6322793154367183E-2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6.9125828035096844E-7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0.30067134762141462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8.6836209520250518E-6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1.2953071675373561E-2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4.3425338633490469</v>
      </c>
      <c r="C14" s="21"/>
      <c r="D14" s="21">
        <f t="shared" ref="D14:M14" si="0">((D5)*10^9/3600)+D12</f>
        <v>14.380809462529822</v>
      </c>
      <c r="E14" s="21">
        <f t="shared" si="0"/>
        <v>1682.2467789175698</v>
      </c>
      <c r="F14" s="21"/>
      <c r="G14" s="21">
        <f t="shared" si="0"/>
        <v>309202.42465557047</v>
      </c>
      <c r="H14" s="21">
        <f t="shared" si="0"/>
        <v>49086.761128354563</v>
      </c>
      <c r="I14" s="21"/>
      <c r="J14" s="21"/>
      <c r="K14" s="21"/>
      <c r="L14" s="21"/>
      <c r="M14" s="21">
        <f t="shared" si="0"/>
        <v>15579.407041696666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0.2160185073721238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0.93806768337356339</v>
      </c>
      <c r="C18" s="23"/>
      <c r="D18" s="23">
        <f t="shared" ref="D18:M18" si="1">D14*D16</f>
        <v>2.9049235114310243</v>
      </c>
      <c r="E18" s="23">
        <f t="shared" si="1"/>
        <v>381.87001881428836</v>
      </c>
      <c r="F18" s="23"/>
      <c r="G18" s="23">
        <f t="shared" si="1"/>
        <v>82557.047383037323</v>
      </c>
      <c r="H18" s="23">
        <f t="shared" si="1"/>
        <v>12222.603520960287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8.4927903811048933E-5</v>
      </c>
      <c r="C50" s="315">
        <f t="shared" ref="C50:P50" si="2">SUM(C51:C52)</f>
        <v>0</v>
      </c>
      <c r="D50" s="315">
        <f t="shared" si="2"/>
        <v>0</v>
      </c>
      <c r="E50" s="315">
        <f t="shared" si="2"/>
        <v>0</v>
      </c>
      <c r="F50" s="315">
        <f t="shared" si="2"/>
        <v>0</v>
      </c>
      <c r="G50" s="315">
        <f t="shared" si="2"/>
        <v>1.8424256067682478E-2</v>
      </c>
      <c r="H50" s="315">
        <f t="shared" si="2"/>
        <v>0</v>
      </c>
      <c r="I50" s="315">
        <f t="shared" si="2"/>
        <v>0</v>
      </c>
      <c r="J50" s="315">
        <f t="shared" si="2"/>
        <v>0</v>
      </c>
      <c r="K50" s="315">
        <f t="shared" si="2"/>
        <v>0</v>
      </c>
      <c r="L50" s="315">
        <f t="shared" si="2"/>
        <v>0</v>
      </c>
      <c r="M50" s="315">
        <f t="shared" si="2"/>
        <v>7.8885587266245714E-4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8.4927903811048933E-5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1.8424256067682478E-2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7.8885587266245714E-4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23.591084391958038</v>
      </c>
      <c r="C54" s="21">
        <f t="shared" ref="C54:P54" si="3">(C50)*10^9/3600</f>
        <v>0</v>
      </c>
      <c r="D54" s="21">
        <f t="shared" si="3"/>
        <v>0</v>
      </c>
      <c r="E54" s="21">
        <f t="shared" si="3"/>
        <v>0</v>
      </c>
      <c r="F54" s="21">
        <f t="shared" si="3"/>
        <v>0</v>
      </c>
      <c r="G54" s="21">
        <f t="shared" si="3"/>
        <v>5117.8489076895776</v>
      </c>
      <c r="H54" s="21">
        <f t="shared" si="3"/>
        <v>0</v>
      </c>
      <c r="I54" s="21">
        <f t="shared" si="3"/>
        <v>0</v>
      </c>
      <c r="J54" s="21">
        <f t="shared" si="3"/>
        <v>0</v>
      </c>
      <c r="K54" s="21">
        <f t="shared" si="3"/>
        <v>0</v>
      </c>
      <c r="L54" s="21">
        <f t="shared" si="3"/>
        <v>0</v>
      </c>
      <c r="M54" s="21">
        <f t="shared" si="3"/>
        <v>219.126631295127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0.2160185073721238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5.0961108376405821</v>
      </c>
      <c r="C58" s="23">
        <f t="shared" ref="C58:P58" ca="1" si="4">C54*C56</f>
        <v>0</v>
      </c>
      <c r="D58" s="23">
        <f t="shared" si="4"/>
        <v>0</v>
      </c>
      <c r="E58" s="23">
        <f t="shared" si="4"/>
        <v>0</v>
      </c>
      <c r="F58" s="23">
        <f t="shared" si="4"/>
        <v>0</v>
      </c>
      <c r="G58" s="23">
        <f t="shared" si="4"/>
        <v>1366.4656583531173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3961.9558602129355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3961.9558602129355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2021-06-29T16:54:34Z</dcterms:modified>
</cp:coreProperties>
</file>