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2" i="13"/>
  <c r="B35" i="13"/>
  <c r="C35" i="13" s="1"/>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<sst xmlns="http://schemas.openxmlformats.org/spreadsheetml/2006/main" count="2581" uniqueCount="983">
  <si>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</si>
  <si>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</si>
  <si>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</si>
  <si>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</si>
  <si>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</si>
  <si>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</si>
  <si>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</si>
  <si>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</si>
  <si>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</si>
  <si>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</si>
  <si>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</si>
  <si>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</si>
  <si>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</si>
  <si>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</si>
  <si>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</si>
  <si>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</si>
  <si>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</si>
  <si>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</si>
  <si>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</si>
  <si>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</si>
  <si>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</si>
  <si>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</si>
  <si>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</si>
  <si>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</si>
  <si>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</si>
  <si>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</si>
  <si>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</si>
  <si>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</si>
  <si>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</si>
  <si>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</si>
  <si>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</si>
  <si>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</si>
  <si>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</si>
  <si>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</si>
  <si>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</si>
  <si>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</si>
  <si>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</si>
  <si>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</si>
  <si>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</si>
  <si>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</si>
  <si>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</si>
  <si>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</si>
  <si>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</si>
  <si>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</si>
  <si>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</si>
  <si>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</si>
  <si>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</si>
  <si>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</si>
  <si>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</si>
  <si>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</si>
  <si>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</si>
  <si>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</si>
  <si>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</si>
  <si>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</si>
  <si>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</si>
  <si>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</si>
  <si>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</si>
  <si>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</si>
  <si>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</si>
  <si>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</si>
  <si>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</si>
  <si>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</si>
  <si>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</si>
  <si>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</si>
  <si>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</si>
  <si>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</si>
  <si>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</si>
  <si>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</si>
  <si>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</si>
  <si>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</si>
  <si>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</si>
  <si>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</si>
  <si>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</si>
  <si>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</si>
  <si>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</si>
  <si>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</si>
  <si>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</si>
  <si>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</si>
  <si>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</si>
  <si>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</si>
  <si>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</si>
  <si>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</si>
  <si>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</si>
  <si>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</si>
  <si>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</si>
  <si>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</si>
  <si>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</si>
  <si>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</si>
  <si>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</si>
  <si>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</si>
  <si>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</si>
  <si>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</si>
  <si>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</si>
  <si>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</si>
  <si>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</si>
  <si>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</si>
  <si>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</si>
  <si>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</si>
  <si>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</si>
  <si>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</si>
  <si>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</si>
  <si>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</si>
  <si>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</si>
  <si>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</si>
  <si>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</si>
  <si>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</si>
  <si>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</si>
  <si>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</si>
  <si>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</si>
  <si>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</si>
  <si>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</si>
  <si>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</si>
  <si>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</si>
  <si>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</si>
  <si>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</si>
  <si>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</si>
  <si>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</si>
  <si>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</si>
  <si>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</si>
  <si>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</si>
  <si>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</si>
  <si>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</si>
  <si>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</si>
  <si>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</si>
  <si>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</si>
  <si>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</si>
  <si>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</si>
  <si>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</si>
  <si>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</si>
  <si>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</si>
  <si>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</si>
  <si>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</si>
  <si>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</si>
  <si>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</si>
  <si>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</si>
  <si>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</si>
  <si>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</si>
  <si>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</si>
  <si>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</si>
  <si>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</si>
  <si>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</si>
  <si>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</si>
  <si>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</si>
  <si>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</si>
  <si>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</si>
  <si>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</si>
  <si>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</si>
  <si>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</si>
  <si>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</si>
  <si>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</si>
  <si>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</si>
  <si>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</si>
  <si>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</si>
  <si>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</si>
  <si>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</si>
  <si>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</si>
  <si>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</si>
  <si>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</si>
  <si>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</si>
  <si>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</si>
  <si>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</si>
  <si>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</si>
  <si>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</si>
  <si>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</si>
  <si>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</si>
  <si>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</si>
  <si>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</si>
  <si>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</si>
  <si>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</si>
  <si>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</si>
  <si>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</si>
  <si>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</si>
  <si>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</si>
  <si>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</si>
  <si>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</si>
  <si>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</si>
  <si>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</si>
  <si>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</si>
  <si>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</si>
  <si>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</si>
  <si>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</si>
  <si>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</si>
  <si>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</si>
  <si>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</si>
  <si>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</si>
  <si>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</si>
  <si>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</si>
  <si>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</si>
  <si>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</si>
  <si>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</si>
  <si>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</si>
  <si>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</si>
  <si>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</si>
  <si>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</si>
  <si>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</si>
  <si>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</si>
  <si>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</si>
  <si>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</si>
  <si>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</si>
  <si>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</si>
  <si>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</si>
  <si>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</si>
  <si>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</si>
  <si>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</si>
  <si>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</si>
  <si>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</si>
  <si>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</si>
  <si>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</si>
  <si>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</si>
  <si>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</si>
  <si>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</si>
  <si>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</si>
  <si>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</si>
  <si>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</si>
  <si>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</si>
  <si>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</si>
  <si>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</si>
  <si>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</si>
  <si>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</si>
  <si>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</si>
  <si>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</si>
  <si>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</si>
  <si>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</si>
  <si>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</si>
  <si>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</si>
  <si>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</si>
  <si>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</si>
  <si>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</si>
  <si>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</si>
  <si>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</si>
  <si>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</si>
  <si>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</si>
  <si>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</si>
  <si>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</si>
  <si>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</si>
  <si>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</si>
  <si>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</si>
  <si>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</si>
  <si>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</si>
  <si>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</si>
  <si>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</si>
  <si>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</si>
  <si>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</si>
  <si>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</si>
  <si>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</si>
  <si>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</si>
  <si>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</si>
  <si>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</si>
  <si>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</si>
  <si>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</si>
  <si>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</si>
  <si>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</si>
  <si>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</si>
  <si>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</si>
  <si>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</si>
  <si>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</si>
  <si>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</si>
  <si>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</si>
  <si>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</si>
  <si>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</si>
  <si>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</si>
  <si>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</si>
  <si>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</si>
  <si>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</si>
  <si>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</si>
  <si>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</si>
  <si>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</si>
  <si>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</si>
  <si>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</si>
  <si>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</si>
  <si>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</si>
  <si>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</si>
  <si>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</si>
  <si>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</si>
  <si>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</si>
  <si>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</si>
  <si>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</si>
  <si>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</si>
  <si>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</si>
  <si>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</si>
  <si>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</si>
  <si>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</si>
  <si>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</si>
  <si>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</si>
  <si>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</si>
  <si>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</si>
  <si>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</si>
  <si>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</si>
  <si>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</si>
  <si>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</si>
  <si>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</si>
  <si>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</si>
  <si>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</si>
  <si>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</si>
  <si>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</si>
  <si>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</si>
  <si>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</si>
  <si>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</si>
  <si>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</si>
  <si>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</si>
  <si>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</si>
  <si>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</si>
  <si>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</si>
  <si>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</si>
  <si>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</si>
  <si>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</si>
  <si>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</si>
  <si>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</si>
  <si>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</si>
  <si>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</si>
  <si>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</si>
  <si>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</si>
  <si>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</si>
  <si>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</si>
  <si>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</si>
  <si>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</si>
  <si>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</si>
  <si>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</si>
  <si>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</si>
  <si>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</si>
  <si>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</si>
  <si>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</si>
  <si>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</si>
  <si>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</si>
  <si>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</si>
  <si>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</si>
  <si>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</si>
  <si>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</si>
  <si>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</si>
  <si>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</si>
  <si>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</si>
  <si>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</si>
  <si>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</si>
  <si>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</si>
  <si>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</si>
  <si>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</si>
  <si>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</si>
  <si>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</si>
  <si>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</si>
  <si>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</si>
  <si>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</si>
  <si>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</si>
  <si>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</si>
  <si>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</si>
  <si>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</si>
  <si>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</si>
  <si>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</si>
  <si>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</si>
  <si>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</si>
  <si>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</si>
  <si>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</si>
  <si>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</si>
  <si>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</si>
  <si>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</si>
  <si>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</si>
  <si>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</si>
  <si>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</si>
  <si>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</si>
  <si>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</si>
  <si>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</si>
  <si>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</si>
  <si>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</si>
  <si>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</si>
  <si>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</si>
  <si>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</si>
  <si>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</si>
  <si>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</si>
  <si>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</si>
  <si>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</si>
  <si>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</si>
  <si>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</si>
  <si>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</si>
  <si>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</si>
  <si>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</si>
  <si>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</si>
  <si>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</si>
  <si>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</si>
  <si>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</si>
  <si>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</si>
  <si>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</si>
  <si>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</si>
  <si>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</si>
  <si>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</si>
  <si>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</si>
  <si>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</si>
  <si>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</si>
  <si>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</si>
  <si>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</si>
  <si>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</si>
  <si>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</si>
  <si>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</si>
  <si>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</si>
  <si>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</si>
  <si>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</si>
  <si>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</si>
  <si>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</si>
  <si>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</si>
  <si>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</si>
  <si>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</si>
  <si>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</si>
  <si>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</si>
  <si>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</si>
  <si>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</si>
  <si>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</si>
  <si>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</si>
  <si>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</si>
  <si>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</si>
  <si>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</si>
  <si>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</si>
  <si>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</si>
  <si>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</si>
  <si>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</si>
  <si>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</si>
  <si>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</si>
  <si>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</si>
  <si>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</si>
  <si>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</si>
  <si>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</si>
  <si>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</si>
  <si>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</si>
  <si>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</si>
  <si>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</si>
  <si>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</si>
  <si>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</si>
  <si>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</si>
  <si>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</si>
  <si>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</si>
  <si>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</si>
  <si>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</si>
  <si>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</si>
  <si>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</si>
  <si>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</si>
  <si>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</si>
  <si>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</si>
  <si>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</si>
  <si>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</si>
  <si>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</si>
  <si>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</si>
  <si>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</si>
  <si>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</si>
  <si>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</si>
  <si>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</si>
  <si>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</si>
  <si>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</si>
  <si>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</si>
  <si>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</si>
  <si>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</si>
  <si>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</si>
  <si>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</si>
  <si>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</si>
  <si>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</si>
  <si>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</si>
  <si>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</si>
  <si>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</si>
  <si>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</si>
  <si>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</si>
  <si>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</si>
  <si>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</si>
  <si>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</si>
  <si>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</si>
  <si>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</si>
  <si>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</si>
  <si>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</si>
  <si>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</si>
  <si>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</si>
  <si>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</si>
  <si>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</si>
  <si>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</si>
  <si>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</si>
  <si>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</si>
  <si>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</si>
  <si>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</si>
  <si>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</si>
  <si>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</si>
  <si>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</si>
  <si>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</si>
  <si>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</si>
  <si>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</si>
  <si>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</si>
  <si>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</si>
  <si>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</si>
  <si>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</si>
  <si>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</si>
  <si>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</si>
  <si>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</si>
  <si>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</si>
  <si>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</si>
  <si>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</si>
  <si>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</si>
  <si>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</si>
  <si>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</si>
  <si>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</si>
  <si>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</si>
  <si>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</si>
  <si>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</si>
  <si>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</si>
  <si>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</si>
  <si>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</si>
  <si>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</si>
  <si>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</si>
  <si>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</si>
  <si>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</si>
  <si>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</si>
  <si>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</si>
  <si>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</si>
  <si>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</si>
  <si>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</si>
  <si>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</si>
  <si>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</si>
  <si>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</si>
  <si>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</si>
  <si>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</si>
  <si>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</si>
  <si>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</si>
  <si>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</si>
  <si>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</si>
  <si>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</si>
  <si>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</si>
  <si>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</si>
  <si>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</si>
  <si>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</si>
  <si>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</si>
  <si>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</si>
  <si>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</si>
  <si>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</si>
  <si>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</si>
  <si>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</si>
  <si>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</si>
  <si>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</si>
  <si>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</si>
  <si>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</si>
  <si>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</si>
  <si>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</si>
  <si>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</si>
  <si>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</si>
  <si>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</si>
  <si>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</si>
  <si>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</si>
  <si>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</si>
  <si>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</si>
  <si>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</si>
  <si>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</si>
  <si>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</si>
  <si>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</si>
  <si>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</si>
  <si>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</si>
  <si>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</si>
  <si>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</si>
  <si>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</si>
  <si>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</si>
  <si>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</si>
  <si>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</si>
  <si>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</si>
  <si>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</si>
  <si>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</si>
  <si>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</si>
  <si>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</si>
  <si>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</si>
  <si>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</si>
  <si>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</si>
  <si>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</si>
  <si>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</si>
  <si>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</si>
  <si>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</si>
  <si>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</si>
  <si>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</si>
  <si>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</si>
  <si>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</si>
  <si>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</si>
  <si>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</si>
  <si>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</si>
  <si>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</si>
  <si>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</si>
  <si>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</si>
  <si>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</si>
  <si>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</si>
  <si>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</si>
  <si>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</si>
  <si>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</si>
  <si>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</si>
  <si>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</si>
  <si>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</si>
  <si>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</si>
  <si>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</si>
  <si>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</si>
  <si>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</si>
  <si>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</si>
  <si>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</si>
  <si>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</si>
  <si>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</si>
  <si>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</si>
  <si>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</si>
  <si>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</si>
  <si>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</si>
  <si>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</si>
  <si>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</si>
  <si>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</si>
  <si>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</si>
  <si>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</si>
  <si>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</si>
  <si>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</si>
  <si>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</si>
  <si>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</si>
  <si>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</si>
  <si>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</si>
  <si>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</si>
  <si>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</si>
  <si>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</si>
  <si>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</si>
  <si>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</si>
  <si>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</si>
  <si>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</si>
  <si>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</si>
  <si>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</si>
  <si>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</si>
  <si>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</si>
  <si>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</si>
  <si>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</si>
  <si>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</si>
  <si>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</si>
  <si>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</si>
  <si>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</si>
  <si>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</si>
  <si>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</si>
  <si>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</si>
  <si>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</si>
  <si>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</si>
  <si>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</si>
  <si>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</si>
  <si>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</si>
  <si>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</si>
  <si>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</si>
  <si>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</si>
  <si>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</si>
  <si>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</si>
  <si>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</si>
  <si>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</si>
  <si>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</si>
  <si>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</si>
  <si>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</si>
  <si>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</si>
  <si>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</si>
  <si>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</si>
  <si>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</si>
  <si>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</si>
  <si>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</si>
  <si>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</si>
  <si>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</si>
  <si>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</si>
  <si>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</si>
  <si>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</si>
  <si>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</si>
  <si>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</si>
  <si>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</si>
  <si>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</si>
  <si>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</si>
  <si>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</si>
  <si>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</si>
  <si>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</si>
  <si>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</si>
  <si>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</si>
  <si>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</si>
  <si>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</si>
  <si>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</si>
  <si>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</si>
  <si>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</si>
  <si>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</si>
  <si>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</si>
  <si>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</si>
  <si>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</si>
  <si>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</si>
  <si>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</si>
  <si>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</si>
  <si>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</si>
  <si>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</si>
  <si>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</si>
  <si>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</si>
  <si>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</si>
  <si>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</si>
  <si>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</si>
  <si>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</si>
  <si>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</si>
  <si>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</si>
  <si>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</si>
  <si>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</si>
  <si>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</si>
  <si>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</si>
  <si>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</si>
  <si>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</si>
  <si>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</si>
  <si>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</si>
  <si>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</si>
  <si>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</si>
  <si>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</si>
  <si>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</si>
  <si>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</si>
  <si>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</si>
  <si>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</si>
  <si>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</si>
  <si>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</si>
  <si>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</si>
  <si>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</si>
  <si>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</si>
  <si>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</si>
  <si>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</si>
  <si>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</si>
  <si>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</si>
  <si>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</si>
  <si>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</si>
  <si>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</si>
  <si>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</si>
  <si>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</si>
  <si>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</si>
  <si>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</si>
  <si>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</si>
  <si>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</si>
  <si>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</si>
  <si>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</si>
  <si>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</si>
  <si>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</si>
  <si>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</si>
  <si>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</si>
  <si>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</si>
  <si>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</si>
  <si>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</si>
  <si>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</si>
  <si>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</si>
  <si>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</si>
  <si>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</si>
  <si>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</si>
  <si>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</si>
  <si>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</si>
  <si>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</si>
  <si>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</si>
  <si>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</si>
  <si>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</si>
  <si>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</si>
  <si>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</si>
  <si>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</si>
  <si>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</si>
  <si>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</si>
  <si>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</si>
  <si>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</si>
  <si>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</si>
  <si>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</si>
  <si>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</si>
  <si>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</si>
  <si>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</si>
  <si>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</si>
  <si>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</si>
  <si>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</si>
  <si>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</si>
  <si>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</si>
  <si>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</si>
  <si>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</si>
  <si>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</si>
  <si>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</si>
  <si>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</si>
  <si>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</si>
  <si>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</si>
  <si>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</si>
  <si>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</si>
  <si>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</si>
  <si>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</si>
  <si>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</si>
  <si>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</si>
  <si>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</si>
  <si>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</si>
  <si>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</si>
  <si>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</si>
  <si>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</si>
  <si>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</si>
  <si>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</si>
  <si>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</si>
  <si>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</si>
  <si>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</si>
  <si>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</si>
  <si>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</si>
  <si>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</si>
  <si>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</si>
  <si>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</si>
  <si>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</si>
  <si>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</si>
  <si>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</si>
  <si>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</si>
  <si>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</si>
  <si>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</si>
  <si>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</si>
  <si>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</si>
  <si>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</si>
  <si>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</si>
  <si>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</si>
  <si>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</si>
  <si>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</si>
  <si>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</si>
  <si>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</si>
  <si>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</si>
  <si>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</si>
  <si>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</si>
  <si>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</si>
  <si>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</si>
  <si>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</si>
  <si>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</si>
  <si>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</si>
  <si>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</si>
  <si>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</si>
  <si>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</si>
  <si>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</si>
  <si>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</si>
  <si>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</si>
  <si>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</si>
  <si>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</si>
  <si>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</si>
  <si>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</si>
  <si>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</si>
  <si>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</si>
  <si>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</si>
  <si>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</si>
  <si>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</si>
  <si>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</si>
  <si>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</si>
  <si>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</si>
  <si>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</si>
  <si>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</si>
  <si>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</si>
  <si>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</si>
  <si>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</si>
  <si>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</si>
  <si>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</si>
  <si>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</si>
  <si>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</si>
  <si>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</si>
  <si>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</si>
  <si>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</si>
  <si>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</si>
  <si>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</si>
  <si>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</si>
  <si>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</si>
  <si>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</si>
  <si>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</si>
  <si>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</si>
  <si>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</si>
  <si>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</si>
  <si>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</si>
  <si>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</si>
  <si>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</si>
  <si>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</si>
  <si>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</si>
  <si>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</si>
  <si>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</si>
  <si>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</si>
  <si>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</si>
  <si>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</si>
  <si>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</si>
  <si>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</si>
  <si>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</si>
  <si>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</si>
  <si>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</si>
  <si>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</si>
  <si>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</si>
  <si>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</si>
  <si>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</si>
  <si>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</si>
  <si>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</si>
  <si>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</si>
  <si>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</si>
  <si>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</si>
  <si>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</si>
  <si>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</si>
  <si>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</si>
  <si>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</si>
  <si>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</si>
  <si>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</si>
  <si>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</si>
  <si>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</si>
  <si>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</si>
  <si>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</si>
  <si>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</si>
  <si>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</si>
  <si>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</si>
  <si>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</si>
  <si>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</si>
  <si>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</si>
  <si>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</si>
  <si>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</si>
  <si>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</si>
  <si>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</si>
  <si>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</si>
  <si>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</si>
  <si>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</si>
  <si>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</si>
  <si>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</si>
  <si>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</si>
  <si>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</si>
  <si>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</si>
  <si>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</si>
  <si>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</si>
  <si>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</si>
  <si>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</si>
  <si>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</si>
  <si>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</si>
  <si>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</si>
  <si>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</si>
  <si>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</si>
  <si>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</si>
  <si>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</si>
  <si>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</si>
  <si>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</si>
  <si>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</si>
  <si>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</si>
  <si>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</si>
  <si>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</si>
  <si>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</si>
  <si>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</si>
  <si>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</si>
  <si>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</si>
  <si>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</si>
  <si>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</si>
  <si>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</si>
  <si>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</si>
  <si>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</si>
  <si>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</si>
  <si>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</si>
  <si>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</si>
  <si>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</si>
  <si>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</si>
  <si>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</si>
  <si>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</si>
  <si>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</si>
  <si>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</si>
  <si>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</si>
  <si>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</si>
  <si>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</si>
  <si>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</si>
  <si>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</si>
  <si>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</si>
  <si>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</si>
  <si>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</si>
  <si>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</si>
  <si>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</si>
  <si>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</si>
  <si>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</si>
  <si>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</si>
  <si>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</si>
  <si>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</si>
  <si>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</si>
  <si>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</si>
  <si>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</si>
  <si>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</si>
  <si>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</si>
  <si>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</si>
  <si>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</si>
  <si>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</si>
  <si>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</si>
  <si>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</si>
  <si>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</si>
  <si>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</si>
  <si>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</si>
  <si>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</si>
  <si>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</si>
  <si>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</si>
  <si>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</si>
  <si>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</si>
  <si>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</si>
  <si>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</si>
  <si>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</si>
  <si>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</si>
  <si>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</si>
  <si>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</si>
  <si>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</si>
  <si>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</si>
  <si>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</si>
  <si>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</si>
  <si>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</si>
  <si>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</si>
  <si>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</si>
  <si>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23016</t>
  </si>
  <si>
    <t>DILBEEK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</si>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</sst>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23016</v>
      </c>
      <c r="B6" s="386"/>
      <c r="C6" s="387"/>
    </row>
    <row r="7" spans="1:7" s="384" customFormat="1" ht="15.75" customHeight="1">
      <c r="A7" s="388" t="str">
        <f>txtMunicipality</f>
        <v>DILBEEK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48050.003534284871</v>
      </c>
      <c r="D10" s="676">
        <f ca="1">tertiair!C16</f>
        <v>0</v>
      </c>
      <c r="E10" s="676">
        <f ca="1">tertiair!D16</f>
        <v>56102.665384378175</v>
      </c>
      <c r="F10" s="676">
        <f>tertiair!E16</f>
        <v>1040.7473331423316</v>
      </c>
      <c r="G10" s="676">
        <f ca="1">tertiair!F16</f>
        <v>8589.4814212354813</v>
      </c>
      <c r="H10" s="676">
        <f>tertiair!G16</f>
        <v>0</v>
      </c>
      <c r="I10" s="676">
        <f>tertiair!H16</f>
        <v>0</v>
      </c>
      <c r="J10" s="676">
        <f>tertiair!I16</f>
        <v>0</v>
      </c>
      <c r="K10" s="676">
        <f>tertiair!J16</f>
        <v>0</v>
      </c>
      <c r="L10" s="676">
        <f>tertiair!K16</f>
        <v>0</v>
      </c>
      <c r="M10" s="676">
        <f ca="1">tertiair!L16</f>
        <v>0</v>
      </c>
      <c r="N10" s="676">
        <f>tertiair!M16</f>
        <v>0</v>
      </c>
      <c r="O10" s="676">
        <f ca="1">tertiair!N16</f>
        <v>1335.1958578839406</v>
      </c>
      <c r="P10" s="676">
        <f>tertiair!O16</f>
        <v>0</v>
      </c>
      <c r="Q10" s="677">
        <f>tertiair!P16</f>
        <v>57.2</v>
      </c>
      <c r="R10" s="679">
        <f ca="1">SUM(C10:Q10)</f>
        <v>115175.2935309248</v>
      </c>
      <c r="S10" s="67"/>
    </row>
    <row r="11" spans="1:19" s="445" customFormat="1">
      <c r="A11" s="791" t="s">
        <v>220</v>
      </c>
      <c r="B11" s="796"/>
      <c r="C11" s="676">
        <f>huishoudens!B8</f>
        <v>71971.27173226072</v>
      </c>
      <c r="D11" s="676">
        <f>huishoudens!C8</f>
        <v>0</v>
      </c>
      <c r="E11" s="676">
        <f>huishoudens!D8</f>
        <v>180686.40650659078</v>
      </c>
      <c r="F11" s="676">
        <f>huishoudens!E8</f>
        <v>3035.7878075929539</v>
      </c>
      <c r="G11" s="676">
        <f>huishoudens!F8</f>
        <v>103624.78210796857</v>
      </c>
      <c r="H11" s="676">
        <f>huishoudens!G8</f>
        <v>0</v>
      </c>
      <c r="I11" s="676">
        <f>huishoudens!H8</f>
        <v>0</v>
      </c>
      <c r="J11" s="676">
        <f>huishoudens!I8</f>
        <v>0</v>
      </c>
      <c r="K11" s="676">
        <f>huishoudens!J8</f>
        <v>2333.3673744895345</v>
      </c>
      <c r="L11" s="676">
        <f>huishoudens!K8</f>
        <v>0</v>
      </c>
      <c r="M11" s="676">
        <f>huishoudens!L8</f>
        <v>0</v>
      </c>
      <c r="N11" s="676">
        <f>huishoudens!M8</f>
        <v>0</v>
      </c>
      <c r="O11" s="676">
        <f>huishoudens!N8</f>
        <v>19605.937745837036</v>
      </c>
      <c r="P11" s="676">
        <f>huishoudens!O8</f>
        <v>165.71333333333337</v>
      </c>
      <c r="Q11" s="677">
        <f>huishoudens!P8</f>
        <v>457.6</v>
      </c>
      <c r="R11" s="679">
        <f>SUM(C11:Q11)</f>
        <v>381880.86660807289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45739.955029455348</v>
      </c>
      <c r="D13" s="676">
        <f>industrie!C18</f>
        <v>0</v>
      </c>
      <c r="E13" s="676">
        <f>industrie!D18</f>
        <v>61745.151427236378</v>
      </c>
      <c r="F13" s="676">
        <f>industrie!E18</f>
        <v>435.98809743618642</v>
      </c>
      <c r="G13" s="676">
        <f>industrie!F18</f>
        <v>10748.93524841505</v>
      </c>
      <c r="H13" s="676">
        <f>industrie!G18</f>
        <v>0</v>
      </c>
      <c r="I13" s="676">
        <f>industrie!H18</f>
        <v>0</v>
      </c>
      <c r="J13" s="676">
        <f>industrie!I18</f>
        <v>0</v>
      </c>
      <c r="K13" s="676">
        <f>industrie!J18</f>
        <v>285.99615232945877</v>
      </c>
      <c r="L13" s="676">
        <f>industrie!K18</f>
        <v>0</v>
      </c>
      <c r="M13" s="676">
        <f>industrie!L18</f>
        <v>0</v>
      </c>
      <c r="N13" s="676">
        <f>industrie!M18</f>
        <v>0</v>
      </c>
      <c r="O13" s="676">
        <f>industrie!N18</f>
        <v>977.19150682571421</v>
      </c>
      <c r="P13" s="676">
        <f>industrie!O18</f>
        <v>0</v>
      </c>
      <c r="Q13" s="677">
        <f>industrie!P18</f>
        <v>0</v>
      </c>
      <c r="R13" s="679">
        <f>SUM(C13:Q13)</f>
        <v>119933.21746169812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165761.23029600095</v>
      </c>
      <c r="D16" s="709">
        <f t="shared" ref="D16:R16" ca="1" si="0">SUM(D9:D15)</f>
        <v>0</v>
      </c>
      <c r="E16" s="709">
        <f t="shared" ca="1" si="0"/>
        <v>298534.22331820533</v>
      </c>
      <c r="F16" s="709">
        <f t="shared" si="0"/>
        <v>4512.5232381714723</v>
      </c>
      <c r="G16" s="709">
        <f t="shared" ca="1" si="0"/>
        <v>122963.19877761909</v>
      </c>
      <c r="H16" s="709">
        <f t="shared" si="0"/>
        <v>0</v>
      </c>
      <c r="I16" s="709">
        <f t="shared" si="0"/>
        <v>0</v>
      </c>
      <c r="J16" s="709">
        <f t="shared" si="0"/>
        <v>0</v>
      </c>
      <c r="K16" s="709">
        <f t="shared" si="0"/>
        <v>2619.3635268189933</v>
      </c>
      <c r="L16" s="709">
        <f t="shared" si="0"/>
        <v>0</v>
      </c>
      <c r="M16" s="709">
        <f t="shared" ca="1" si="0"/>
        <v>0</v>
      </c>
      <c r="N16" s="709">
        <f t="shared" si="0"/>
        <v>0</v>
      </c>
      <c r="O16" s="709">
        <f t="shared" ca="1" si="0"/>
        <v>21918.325110546692</v>
      </c>
      <c r="P16" s="709">
        <f t="shared" si="0"/>
        <v>165.71333333333337</v>
      </c>
      <c r="Q16" s="709">
        <f t="shared" si="0"/>
        <v>514.80000000000007</v>
      </c>
      <c r="R16" s="709">
        <f t="shared" ca="1" si="0"/>
        <v>616989.37760069582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37.893192581433688</v>
      </c>
      <c r="D19" s="676">
        <f>transport!C54</f>
        <v>0</v>
      </c>
      <c r="E19" s="676">
        <f>transport!D54</f>
        <v>0</v>
      </c>
      <c r="F19" s="676">
        <f>transport!E54</f>
        <v>0</v>
      </c>
      <c r="G19" s="676">
        <f>transport!F54</f>
        <v>0</v>
      </c>
      <c r="H19" s="676">
        <f>transport!G54</f>
        <v>8220.5476882559306</v>
      </c>
      <c r="I19" s="676">
        <f>transport!H54</f>
        <v>0</v>
      </c>
      <c r="J19" s="676">
        <f>transport!I54</f>
        <v>0</v>
      </c>
      <c r="K19" s="676">
        <f>transport!J54</f>
        <v>0</v>
      </c>
      <c r="L19" s="676">
        <f>transport!K54</f>
        <v>0</v>
      </c>
      <c r="M19" s="676">
        <f>transport!L54</f>
        <v>0</v>
      </c>
      <c r="N19" s="676">
        <f>transport!M54</f>
        <v>351.97227484030401</v>
      </c>
      <c r="O19" s="676">
        <f>transport!N54</f>
        <v>0</v>
      </c>
      <c r="P19" s="676">
        <f>transport!O54</f>
        <v>0</v>
      </c>
      <c r="Q19" s="677">
        <f>transport!P54</f>
        <v>0</v>
      </c>
      <c r="R19" s="679">
        <f>SUM(C19:Q19)</f>
        <v>8610.4131556776683</v>
      </c>
      <c r="S19" s="67"/>
    </row>
    <row r="20" spans="1:19" s="445" customFormat="1">
      <c r="A20" s="791" t="s">
        <v>302</v>
      </c>
      <c r="B20" s="796"/>
      <c r="C20" s="676">
        <f>transport!B14</f>
        <v>7.7683232707188692</v>
      </c>
      <c r="D20" s="676">
        <f>transport!C14</f>
        <v>0</v>
      </c>
      <c r="E20" s="676">
        <f>transport!D14</f>
        <v>26.470009016271938</v>
      </c>
      <c r="F20" s="676">
        <f>transport!E14</f>
        <v>3072.4152808833173</v>
      </c>
      <c r="G20" s="676">
        <f>transport!F14</f>
        <v>0</v>
      </c>
      <c r="H20" s="676">
        <f>transport!G14</f>
        <v>512189.02474552434</v>
      </c>
      <c r="I20" s="676">
        <f>transport!H14</f>
        <v>90033.801711401975</v>
      </c>
      <c r="J20" s="676">
        <f>transport!I14</f>
        <v>0</v>
      </c>
      <c r="K20" s="676">
        <f>transport!J14</f>
        <v>0</v>
      </c>
      <c r="L20" s="676">
        <f>transport!K14</f>
        <v>0</v>
      </c>
      <c r="M20" s="676">
        <f>transport!L14</f>
        <v>0</v>
      </c>
      <c r="N20" s="676">
        <f>transport!M14</f>
        <v>26208.493061618829</v>
      </c>
      <c r="O20" s="676">
        <f>transport!N14</f>
        <v>0</v>
      </c>
      <c r="P20" s="676">
        <f>transport!O14</f>
        <v>0</v>
      </c>
      <c r="Q20" s="677">
        <f>transport!P14</f>
        <v>0</v>
      </c>
      <c r="R20" s="679">
        <f>SUM(C20:Q20)</f>
        <v>631537.97313171555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45.661515852152554</v>
      </c>
      <c r="D22" s="794">
        <f t="shared" ref="D22:R22" si="1">SUM(D18:D21)</f>
        <v>0</v>
      </c>
      <c r="E22" s="794">
        <f t="shared" si="1"/>
        <v>26.470009016271938</v>
      </c>
      <c r="F22" s="794">
        <f t="shared" si="1"/>
        <v>3072.4152808833173</v>
      </c>
      <c r="G22" s="794">
        <f t="shared" si="1"/>
        <v>0</v>
      </c>
      <c r="H22" s="794">
        <f t="shared" si="1"/>
        <v>520409.5724337803</v>
      </c>
      <c r="I22" s="794">
        <f t="shared" si="1"/>
        <v>90033.801711401975</v>
      </c>
      <c r="J22" s="794">
        <f t="shared" si="1"/>
        <v>0</v>
      </c>
      <c r="K22" s="794">
        <f t="shared" si="1"/>
        <v>0</v>
      </c>
      <c r="L22" s="794">
        <f t="shared" si="1"/>
        <v>0</v>
      </c>
      <c r="M22" s="794">
        <f t="shared" si="1"/>
        <v>0</v>
      </c>
      <c r="N22" s="794">
        <f t="shared" si="1"/>
        <v>26560.465336459132</v>
      </c>
      <c r="O22" s="794">
        <f t="shared" si="1"/>
        <v>0</v>
      </c>
      <c r="P22" s="794">
        <f t="shared" si="1"/>
        <v>0</v>
      </c>
      <c r="Q22" s="794">
        <f t="shared" si="1"/>
        <v>0</v>
      </c>
      <c r="R22" s="794">
        <f t="shared" si="1"/>
        <v>640148.38628739316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876.0745901861111</v>
      </c>
      <c r="D24" s="676">
        <f>+landbouw!C8</f>
        <v>0</v>
      </c>
      <c r="E24" s="676">
        <f>+landbouw!D8</f>
        <v>591.28327516575496</v>
      </c>
      <c r="F24" s="676">
        <f>+landbouw!E8</f>
        <v>9.174442770843342</v>
      </c>
      <c r="G24" s="676">
        <f>+landbouw!F8</f>
        <v>3750.2649213094369</v>
      </c>
      <c r="H24" s="676">
        <f>+landbouw!G8</f>
        <v>0</v>
      </c>
      <c r="I24" s="676">
        <f>+landbouw!H8</f>
        <v>0</v>
      </c>
      <c r="J24" s="676">
        <f>+landbouw!I8</f>
        <v>0</v>
      </c>
      <c r="K24" s="676">
        <f>+landbouw!J8</f>
        <v>78.241313294130663</v>
      </c>
      <c r="L24" s="676">
        <f>+landbouw!K8</f>
        <v>0</v>
      </c>
      <c r="M24" s="676">
        <f>+landbouw!L8</f>
        <v>0</v>
      </c>
      <c r="N24" s="676">
        <f>+landbouw!M8</f>
        <v>0</v>
      </c>
      <c r="O24" s="676">
        <f>+landbouw!N8</f>
        <v>0</v>
      </c>
      <c r="P24" s="676">
        <f>+landbouw!O8</f>
        <v>0</v>
      </c>
      <c r="Q24" s="677">
        <f>+landbouw!P8</f>
        <v>0</v>
      </c>
      <c r="R24" s="679">
        <f>SUM(C24:Q24)</f>
        <v>5305.0385427262772</v>
      </c>
      <c r="S24" s="67"/>
    </row>
    <row r="25" spans="1:19" s="445" customFormat="1" ht="15" thickBot="1">
      <c r="A25" s="813" t="s">
        <v>895</v>
      </c>
      <c r="B25" s="968"/>
      <c r="C25" s="969">
        <f>IF(Onbekend_ele_kWh="---",0,Onbekend_ele_kWh)/1000+IF(REST_rest_ele_kWh="---",0,REST_rest_ele_kWh)/1000</f>
        <v>4094.0345562448401</v>
      </c>
      <c r="D25" s="969"/>
      <c r="E25" s="969">
        <f>IF(onbekend_gas_kWh="---",0,onbekend_gas_kWh)/1000+IF(REST_rest_gas_kWh="---",0,REST_rest_gas_kWh)/1000</f>
        <v>8903.6936047151703</v>
      </c>
      <c r="F25" s="969"/>
      <c r="G25" s="969"/>
      <c r="H25" s="969"/>
      <c r="I25" s="969"/>
      <c r="J25" s="969"/>
      <c r="K25" s="969"/>
      <c r="L25" s="969"/>
      <c r="M25" s="969"/>
      <c r="N25" s="969"/>
      <c r="O25" s="969"/>
      <c r="P25" s="969"/>
      <c r="Q25" s="970"/>
      <c r="R25" s="679">
        <f>SUM(C25:Q25)</f>
        <v>12997.72816096001</v>
      </c>
      <c r="S25" s="67"/>
    </row>
    <row r="26" spans="1:19" s="445" customFormat="1" ht="15.75" thickBot="1">
      <c r="A26" s="682" t="s">
        <v>896</v>
      </c>
      <c r="B26" s="799"/>
      <c r="C26" s="794">
        <f>SUM(C24:C25)</f>
        <v>4970.1091464309511</v>
      </c>
      <c r="D26" s="794">
        <f t="shared" ref="D26:R26" si="2">SUM(D24:D25)</f>
        <v>0</v>
      </c>
      <c r="E26" s="794">
        <f t="shared" si="2"/>
        <v>9494.9768798809255</v>
      </c>
      <c r="F26" s="794">
        <f t="shared" si="2"/>
        <v>9.174442770843342</v>
      </c>
      <c r="G26" s="794">
        <f t="shared" si="2"/>
        <v>3750.2649213094369</v>
      </c>
      <c r="H26" s="794">
        <f t="shared" si="2"/>
        <v>0</v>
      </c>
      <c r="I26" s="794">
        <f t="shared" si="2"/>
        <v>0</v>
      </c>
      <c r="J26" s="794">
        <f t="shared" si="2"/>
        <v>0</v>
      </c>
      <c r="K26" s="794">
        <f t="shared" si="2"/>
        <v>78.241313294130663</v>
      </c>
      <c r="L26" s="794">
        <f t="shared" si="2"/>
        <v>0</v>
      </c>
      <c r="M26" s="794">
        <f t="shared" si="2"/>
        <v>0</v>
      </c>
      <c r="N26" s="794">
        <f t="shared" si="2"/>
        <v>0</v>
      </c>
      <c r="O26" s="794">
        <f t="shared" si="2"/>
        <v>0</v>
      </c>
      <c r="P26" s="794">
        <f t="shared" si="2"/>
        <v>0</v>
      </c>
      <c r="Q26" s="794">
        <f t="shared" si="2"/>
        <v>0</v>
      </c>
      <c r="R26" s="794">
        <f t="shared" si="2"/>
        <v>18302.766703686288</v>
      </c>
      <c r="S26" s="67"/>
    </row>
    <row r="27" spans="1:19" s="445" customFormat="1" ht="17.25" thickTop="1" thickBot="1">
      <c r="A27" s="683" t="s">
        <v>115</v>
      </c>
      <c r="B27" s="786"/>
      <c r="C27" s="684">
        <f ca="1">C22+C16+C26</f>
        <v>170777.00095828404</v>
      </c>
      <c r="D27" s="684">
        <f t="shared" ref="D27:R27" ca="1" si="3">D22+D16+D26</f>
        <v>0</v>
      </c>
      <c r="E27" s="684">
        <f t="shared" ca="1" si="3"/>
        <v>308055.67020710255</v>
      </c>
      <c r="F27" s="684">
        <f t="shared" si="3"/>
        <v>7594.1129618256327</v>
      </c>
      <c r="G27" s="684">
        <f t="shared" ca="1" si="3"/>
        <v>126713.46369892854</v>
      </c>
      <c r="H27" s="684">
        <f t="shared" si="3"/>
        <v>520409.5724337803</v>
      </c>
      <c r="I27" s="684">
        <f t="shared" si="3"/>
        <v>90033.801711401975</v>
      </c>
      <c r="J27" s="684">
        <f t="shared" si="3"/>
        <v>0</v>
      </c>
      <c r="K27" s="684">
        <f t="shared" si="3"/>
        <v>2697.6048401131238</v>
      </c>
      <c r="L27" s="684">
        <f t="shared" si="3"/>
        <v>0</v>
      </c>
      <c r="M27" s="684">
        <f t="shared" ca="1" si="3"/>
        <v>0</v>
      </c>
      <c r="N27" s="684">
        <f t="shared" si="3"/>
        <v>26560.465336459132</v>
      </c>
      <c r="O27" s="684">
        <f t="shared" ca="1" si="3"/>
        <v>21918.325110546692</v>
      </c>
      <c r="P27" s="684">
        <f t="shared" si="3"/>
        <v>165.71333333333337</v>
      </c>
      <c r="Q27" s="684">
        <f t="shared" si="3"/>
        <v>514.80000000000007</v>
      </c>
      <c r="R27" s="684">
        <f t="shared" ca="1" si="3"/>
        <v>1275440.5305917752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10448.180292965202</v>
      </c>
      <c r="D40" s="676">
        <f ca="1">tertiair!C20</f>
        <v>0</v>
      </c>
      <c r="E40" s="676">
        <f ca="1">tertiair!D20</f>
        <v>11332.738407644392</v>
      </c>
      <c r="F40" s="676">
        <f>tertiair!E20</f>
        <v>236.24964462330928</v>
      </c>
      <c r="G40" s="676">
        <f ca="1">tertiair!F20</f>
        <v>2293.3915394698738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24310.55988470278</v>
      </c>
    </row>
    <row r="41" spans="1:18">
      <c r="A41" s="804" t="s">
        <v>220</v>
      </c>
      <c r="B41" s="811"/>
      <c r="C41" s="676">
        <f ca="1">huishoudens!B12</f>
        <v>15649.714207327821</v>
      </c>
      <c r="D41" s="676">
        <f ca="1">huishoudens!C12</f>
        <v>0</v>
      </c>
      <c r="E41" s="676">
        <f>huishoudens!D12</f>
        <v>36498.654114331337</v>
      </c>
      <c r="F41" s="676">
        <f>huishoudens!E12</f>
        <v>689.1238323236006</v>
      </c>
      <c r="G41" s="676">
        <f>huishoudens!F12</f>
        <v>27667.816822827608</v>
      </c>
      <c r="H41" s="676">
        <f>huishoudens!G12</f>
        <v>0</v>
      </c>
      <c r="I41" s="676">
        <f>huishoudens!H12</f>
        <v>0</v>
      </c>
      <c r="J41" s="676">
        <f>huishoudens!I12</f>
        <v>0</v>
      </c>
      <c r="K41" s="676">
        <f>huishoudens!J12</f>
        <v>826.01205056929518</v>
      </c>
      <c r="L41" s="676">
        <f>huishoudens!K12</f>
        <v>0</v>
      </c>
      <c r="M41" s="676">
        <f>huishoudens!L12</f>
        <v>0</v>
      </c>
      <c r="N41" s="676">
        <f>huishoudens!M12</f>
        <v>0</v>
      </c>
      <c r="O41" s="676">
        <f>huishoudens!N12</f>
        <v>0</v>
      </c>
      <c r="P41" s="676">
        <f>huishoudens!O12</f>
        <v>0</v>
      </c>
      <c r="Q41" s="751">
        <f>huishoudens!P12</f>
        <v>0</v>
      </c>
      <c r="R41" s="832">
        <f t="shared" ca="1" si="4"/>
        <v>81331.321027379658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9945.87433066216</v>
      </c>
      <c r="D43" s="676">
        <f ca="1">industrie!C22</f>
        <v>0</v>
      </c>
      <c r="E43" s="676">
        <f>industrie!D22</f>
        <v>12472.52058830175</v>
      </c>
      <c r="F43" s="676">
        <f>industrie!E22</f>
        <v>98.969298118014322</v>
      </c>
      <c r="G43" s="676">
        <f>industrie!F22</f>
        <v>2869.9657113268186</v>
      </c>
      <c r="H43" s="676">
        <f>industrie!G22</f>
        <v>0</v>
      </c>
      <c r="I43" s="676">
        <f>industrie!H22</f>
        <v>0</v>
      </c>
      <c r="J43" s="676">
        <f>industrie!I22</f>
        <v>0</v>
      </c>
      <c r="K43" s="676">
        <f>industrie!J22</f>
        <v>101.2426379246284</v>
      </c>
      <c r="L43" s="676">
        <f>industrie!K22</f>
        <v>0</v>
      </c>
      <c r="M43" s="676">
        <f>industrie!L22</f>
        <v>0</v>
      </c>
      <c r="N43" s="676">
        <f>industrie!M22</f>
        <v>0</v>
      </c>
      <c r="O43" s="676">
        <f>industrie!N22</f>
        <v>0</v>
      </c>
      <c r="P43" s="676">
        <f>industrie!O22</f>
        <v>0</v>
      </c>
      <c r="Q43" s="751">
        <f>industrie!P22</f>
        <v>0</v>
      </c>
      <c r="R43" s="831">
        <f t="shared" ca="1" si="4"/>
        <v>25488.572566333372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36043.768830955181</v>
      </c>
      <c r="D46" s="709">
        <f t="shared" ref="D46:Q46" ca="1" si="5">SUM(D39:D45)</f>
        <v>0</v>
      </c>
      <c r="E46" s="709">
        <f t="shared" ca="1" si="5"/>
        <v>60303.913110277477</v>
      </c>
      <c r="F46" s="709">
        <f t="shared" si="5"/>
        <v>1024.3427750649244</v>
      </c>
      <c r="G46" s="709">
        <f t="shared" ca="1" si="5"/>
        <v>32831.174073624301</v>
      </c>
      <c r="H46" s="709">
        <f t="shared" si="5"/>
        <v>0</v>
      </c>
      <c r="I46" s="709">
        <f t="shared" si="5"/>
        <v>0</v>
      </c>
      <c r="J46" s="709">
        <f t="shared" si="5"/>
        <v>0</v>
      </c>
      <c r="K46" s="709">
        <f t="shared" si="5"/>
        <v>927.2546884939236</v>
      </c>
      <c r="L46" s="709">
        <f t="shared" si="5"/>
        <v>0</v>
      </c>
      <c r="M46" s="709">
        <f t="shared" ca="1" si="5"/>
        <v>0</v>
      </c>
      <c r="N46" s="709">
        <f t="shared" si="5"/>
        <v>0</v>
      </c>
      <c r="O46" s="709">
        <f t="shared" ca="1" si="5"/>
        <v>0</v>
      </c>
      <c r="P46" s="709">
        <f t="shared" si="5"/>
        <v>0</v>
      </c>
      <c r="Q46" s="709">
        <f t="shared" si="5"/>
        <v>0</v>
      </c>
      <c r="R46" s="709">
        <f ca="1">SUM(R39:R45)</f>
        <v>131130.45347841582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8.2396436804500031</v>
      </c>
      <c r="D49" s="676">
        <f ca="1">transport!C58</f>
        <v>0</v>
      </c>
      <c r="E49" s="676">
        <f>transport!D58</f>
        <v>0</v>
      </c>
      <c r="F49" s="676">
        <f>transport!E58</f>
        <v>0</v>
      </c>
      <c r="G49" s="676">
        <f>transport!F58</f>
        <v>0</v>
      </c>
      <c r="H49" s="676">
        <f>transport!G58</f>
        <v>2194.8862327643337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2203.1258764447839</v>
      </c>
    </row>
    <row r="50" spans="1:18">
      <c r="A50" s="807" t="s">
        <v>302</v>
      </c>
      <c r="B50" s="817"/>
      <c r="C50" s="975">
        <f ca="1">transport!B18</f>
        <v>1.6891745293753149</v>
      </c>
      <c r="D50" s="975">
        <f>transport!C18</f>
        <v>0</v>
      </c>
      <c r="E50" s="975">
        <f>transport!D18</f>
        <v>5.346941821286932</v>
      </c>
      <c r="F50" s="975">
        <f>transport!E18</f>
        <v>697.4382687605131</v>
      </c>
      <c r="G50" s="975">
        <f>transport!F18</f>
        <v>0</v>
      </c>
      <c r="H50" s="975">
        <f>transport!G18</f>
        <v>136754.46960705501</v>
      </c>
      <c r="I50" s="975">
        <f>transport!H18</f>
        <v>22418.416626139093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159877.36061830528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9.9288182098253177</v>
      </c>
      <c r="D52" s="709">
        <f t="shared" ref="D52:Q52" ca="1" si="6">SUM(D48:D51)</f>
        <v>0</v>
      </c>
      <c r="E52" s="709">
        <f t="shared" si="6"/>
        <v>5.346941821286932</v>
      </c>
      <c r="F52" s="709">
        <f t="shared" si="6"/>
        <v>697.4382687605131</v>
      </c>
      <c r="G52" s="709">
        <f t="shared" si="6"/>
        <v>0</v>
      </c>
      <c r="H52" s="709">
        <f t="shared" si="6"/>
        <v>138949.35583981936</v>
      </c>
      <c r="I52" s="709">
        <f t="shared" si="6"/>
        <v>22418.416626139093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162080.48649475005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190.49707794129347</v>
      </c>
      <c r="D54" s="975">
        <f ca="1">+landbouw!C12</f>
        <v>0</v>
      </c>
      <c r="E54" s="975">
        <f>+landbouw!D12</f>
        <v>119.43922158348251</v>
      </c>
      <c r="F54" s="975">
        <f>+landbouw!E12</f>
        <v>2.0825985089814387</v>
      </c>
      <c r="G54" s="975">
        <f>+landbouw!F12</f>
        <v>1001.3207339896197</v>
      </c>
      <c r="H54" s="975">
        <f>+landbouw!G12</f>
        <v>0</v>
      </c>
      <c r="I54" s="975">
        <f>+landbouw!H12</f>
        <v>0</v>
      </c>
      <c r="J54" s="975">
        <f>+landbouw!I12</f>
        <v>0</v>
      </c>
      <c r="K54" s="975">
        <f>+landbouw!J12</f>
        <v>27.697424906122254</v>
      </c>
      <c r="L54" s="975">
        <f>+landbouw!K12</f>
        <v>0</v>
      </c>
      <c r="M54" s="975">
        <f>+landbouw!L12</f>
        <v>0</v>
      </c>
      <c r="N54" s="975">
        <f>+landbouw!M12</f>
        <v>0</v>
      </c>
      <c r="O54" s="975">
        <f>+landbouw!N12</f>
        <v>0</v>
      </c>
      <c r="P54" s="975">
        <f>+landbouw!O12</f>
        <v>0</v>
      </c>
      <c r="Q54" s="976">
        <f>+landbouw!P12</f>
        <v>0</v>
      </c>
      <c r="R54" s="708">
        <f ca="1">SUM(C54:Q54)</f>
        <v>1341.0370569294994</v>
      </c>
    </row>
    <row r="55" spans="1:18" ht="15" thickBot="1">
      <c r="A55" s="807" t="s">
        <v>895</v>
      </c>
      <c r="B55" s="817"/>
      <c r="C55" s="975">
        <f ca="1">C25*'EF ele_warmte'!B12</f>
        <v>890.22285167481198</v>
      </c>
      <c r="D55" s="975"/>
      <c r="E55" s="975">
        <f>E25*EF_CO2_aardgas</f>
        <v>1798.5461081524645</v>
      </c>
      <c r="F55" s="975"/>
      <c r="G55" s="975"/>
      <c r="H55" s="975"/>
      <c r="I55" s="975"/>
      <c r="J55" s="975"/>
      <c r="K55" s="975"/>
      <c r="L55" s="975"/>
      <c r="M55" s="975"/>
      <c r="N55" s="975"/>
      <c r="O55" s="975"/>
      <c r="P55" s="975"/>
      <c r="Q55" s="976"/>
      <c r="R55" s="708">
        <f ca="1">SUM(C55:Q55)</f>
        <v>2688.7689598272764</v>
      </c>
    </row>
    <row r="56" spans="1:18" ht="15.75" thickBot="1">
      <c r="A56" s="805" t="s">
        <v>896</v>
      </c>
      <c r="B56" s="818"/>
      <c r="C56" s="709">
        <f ca="1">SUM(C54:C55)</f>
        <v>1080.7199296161054</v>
      </c>
      <c r="D56" s="709">
        <f t="shared" ref="D56:Q56" ca="1" si="7">SUM(D54:D55)</f>
        <v>0</v>
      </c>
      <c r="E56" s="709">
        <f t="shared" si="7"/>
        <v>1917.9853297359471</v>
      </c>
      <c r="F56" s="709">
        <f t="shared" si="7"/>
        <v>2.0825985089814387</v>
      </c>
      <c r="G56" s="709">
        <f t="shared" si="7"/>
        <v>1001.3207339896197</v>
      </c>
      <c r="H56" s="709">
        <f t="shared" si="7"/>
        <v>0</v>
      </c>
      <c r="I56" s="709">
        <f t="shared" si="7"/>
        <v>0</v>
      </c>
      <c r="J56" s="709">
        <f t="shared" si="7"/>
        <v>0</v>
      </c>
      <c r="K56" s="709">
        <f t="shared" si="7"/>
        <v>27.697424906122254</v>
      </c>
      <c r="L56" s="709">
        <f t="shared" si="7"/>
        <v>0</v>
      </c>
      <c r="M56" s="709">
        <f t="shared" si="7"/>
        <v>0</v>
      </c>
      <c r="N56" s="709">
        <f t="shared" si="7"/>
        <v>0</v>
      </c>
      <c r="O56" s="709">
        <f t="shared" si="7"/>
        <v>0</v>
      </c>
      <c r="P56" s="709">
        <f t="shared" si="7"/>
        <v>0</v>
      </c>
      <c r="Q56" s="710">
        <f t="shared" si="7"/>
        <v>0</v>
      </c>
      <c r="R56" s="711">
        <f ca="1">SUM(R54:R55)</f>
        <v>4029.8060167567755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37134.417578781111</v>
      </c>
      <c r="D61" s="717">
        <f t="shared" ref="D61:Q61" ca="1" si="8">D46+D52+D56</f>
        <v>0</v>
      </c>
      <c r="E61" s="717">
        <f t="shared" ca="1" si="8"/>
        <v>62227.245381834706</v>
      </c>
      <c r="F61" s="717">
        <f t="shared" si="8"/>
        <v>1723.8636423344187</v>
      </c>
      <c r="G61" s="717">
        <f t="shared" ca="1" si="8"/>
        <v>33832.494807613919</v>
      </c>
      <c r="H61" s="717">
        <f t="shared" si="8"/>
        <v>138949.35583981936</v>
      </c>
      <c r="I61" s="717">
        <f t="shared" si="8"/>
        <v>22418.416626139093</v>
      </c>
      <c r="J61" s="717">
        <f t="shared" si="8"/>
        <v>0</v>
      </c>
      <c r="K61" s="717">
        <f t="shared" si="8"/>
        <v>954.95211340004585</v>
      </c>
      <c r="L61" s="717">
        <f t="shared" si="8"/>
        <v>0</v>
      </c>
      <c r="M61" s="717">
        <f t="shared" ca="1" si="8"/>
        <v>0</v>
      </c>
      <c r="N61" s="717">
        <f t="shared" si="8"/>
        <v>0</v>
      </c>
      <c r="O61" s="717">
        <f t="shared" ca="1" si="8"/>
        <v>0</v>
      </c>
      <c r="P61" s="717">
        <f t="shared" si="8"/>
        <v>0</v>
      </c>
      <c r="Q61" s="717">
        <f t="shared" si="8"/>
        <v>0</v>
      </c>
      <c r="R61" s="717">
        <f ca="1">R46+R52+R56</f>
        <v>297240.74598992267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0.21744390269420408</v>
      </c>
      <c r="D63" s="761">
        <f t="shared" ca="1" si="9"/>
        <v>0</v>
      </c>
      <c r="E63" s="977">
        <f t="shared" ca="1" si="9"/>
        <v>0.20199999999999996</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2747.9621402699618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2747.9621402699618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71971.27173226072</v>
      </c>
      <c r="C4" s="449">
        <f>huishoudens!C8</f>
        <v>0</v>
      </c>
      <c r="D4" s="449">
        <f>huishoudens!D8</f>
        <v>180686.40650659078</v>
      </c>
      <c r="E4" s="449">
        <f>huishoudens!E8</f>
        <v>3035.7878075929539</v>
      </c>
      <c r="F4" s="449">
        <f>huishoudens!F8</f>
        <v>103624.78210796857</v>
      </c>
      <c r="G4" s="449">
        <f>huishoudens!G8</f>
        <v>0</v>
      </c>
      <c r="H4" s="449">
        <f>huishoudens!H8</f>
        <v>0</v>
      </c>
      <c r="I4" s="449">
        <f>huishoudens!I8</f>
        <v>0</v>
      </c>
      <c r="J4" s="449">
        <f>huishoudens!J8</f>
        <v>2333.3673744895345</v>
      </c>
      <c r="K4" s="449">
        <f>huishoudens!K8</f>
        <v>0</v>
      </c>
      <c r="L4" s="449">
        <f>huishoudens!L8</f>
        <v>0</v>
      </c>
      <c r="M4" s="449">
        <f>huishoudens!M8</f>
        <v>0</v>
      </c>
      <c r="N4" s="449">
        <f>huishoudens!N8</f>
        <v>19605.937745837036</v>
      </c>
      <c r="O4" s="449">
        <f>huishoudens!O8</f>
        <v>165.71333333333337</v>
      </c>
      <c r="P4" s="450">
        <f>huishoudens!P8</f>
        <v>457.6</v>
      </c>
      <c r="Q4" s="451">
        <f>SUM(B4:P4)</f>
        <v>381880.86660807289</v>
      </c>
    </row>
    <row r="5" spans="1:17">
      <c r="A5" s="448" t="s">
        <v>155</v>
      </c>
      <c r="B5" s="449">
        <f ca="1">tertiair!B16</f>
        <v>46032.515534284874</v>
      </c>
      <c r="C5" s="449">
        <f ca="1">tertiair!C16</f>
        <v>0</v>
      </c>
      <c r="D5" s="449">
        <f ca="1">tertiair!D16</f>
        <v>56102.665384378175</v>
      </c>
      <c r="E5" s="449">
        <f>tertiair!E16</f>
        <v>1040.7473331423316</v>
      </c>
      <c r="F5" s="449">
        <f ca="1">tertiair!F16</f>
        <v>8589.4814212354813</v>
      </c>
      <c r="G5" s="449">
        <f>tertiair!G16</f>
        <v>0</v>
      </c>
      <c r="H5" s="449">
        <f>tertiair!H16</f>
        <v>0</v>
      </c>
      <c r="I5" s="449">
        <f>tertiair!I16</f>
        <v>0</v>
      </c>
      <c r="J5" s="449">
        <f>tertiair!J16</f>
        <v>0</v>
      </c>
      <c r="K5" s="449">
        <f>tertiair!K16</f>
        <v>0</v>
      </c>
      <c r="L5" s="449">
        <f ca="1">tertiair!L16</f>
        <v>0</v>
      </c>
      <c r="M5" s="449">
        <f>tertiair!M16</f>
        <v>0</v>
      </c>
      <c r="N5" s="449">
        <f ca="1">tertiair!N16</f>
        <v>1335.1958578839406</v>
      </c>
      <c r="O5" s="449">
        <f>tertiair!O16</f>
        <v>0</v>
      </c>
      <c r="P5" s="450">
        <f>tertiair!P16</f>
        <v>57.2</v>
      </c>
      <c r="Q5" s="448">
        <f t="shared" ref="Q5:Q14" ca="1" si="0">SUM(B5:P5)</f>
        <v>113157.80553092479</v>
      </c>
    </row>
    <row r="6" spans="1:17">
      <c r="A6" s="448" t="s">
        <v>193</v>
      </c>
      <c r="B6" s="449">
        <f>'openbare verlichting'!B8</f>
        <v>2017.4880000000001</v>
      </c>
      <c r="C6" s="449"/>
      <c r="D6" s="449"/>
      <c r="E6" s="449"/>
      <c r="F6" s="449"/>
      <c r="G6" s="449"/>
      <c r="H6" s="449"/>
      <c r="I6" s="449"/>
      <c r="J6" s="449"/>
      <c r="K6" s="449"/>
      <c r="L6" s="449"/>
      <c r="M6" s="449"/>
      <c r="N6" s="449"/>
      <c r="O6" s="449"/>
      <c r="P6" s="450"/>
      <c r="Q6" s="448">
        <f t="shared" si="0"/>
        <v>2017.4880000000001</v>
      </c>
    </row>
    <row r="7" spans="1:17">
      <c r="A7" s="448" t="s">
        <v>111</v>
      </c>
      <c r="B7" s="449">
        <f>landbouw!B8</f>
        <v>876.0745901861111</v>
      </c>
      <c r="C7" s="449">
        <f>landbouw!C8</f>
        <v>0</v>
      </c>
      <c r="D7" s="449">
        <f>landbouw!D8</f>
        <v>591.28327516575496</v>
      </c>
      <c r="E7" s="449">
        <f>landbouw!E8</f>
        <v>9.174442770843342</v>
      </c>
      <c r="F7" s="449">
        <f>landbouw!F8</f>
        <v>3750.2649213094369</v>
      </c>
      <c r="G7" s="449">
        <f>landbouw!G8</f>
        <v>0</v>
      </c>
      <c r="H7" s="449">
        <f>landbouw!H8</f>
        <v>0</v>
      </c>
      <c r="I7" s="449">
        <f>landbouw!I8</f>
        <v>0</v>
      </c>
      <c r="J7" s="449">
        <f>landbouw!J8</f>
        <v>78.241313294130663</v>
      </c>
      <c r="K7" s="449">
        <f>landbouw!K8</f>
        <v>0</v>
      </c>
      <c r="L7" s="449">
        <f>landbouw!L8</f>
        <v>0</v>
      </c>
      <c r="M7" s="449">
        <f>landbouw!M8</f>
        <v>0</v>
      </c>
      <c r="N7" s="449">
        <f>landbouw!N8</f>
        <v>0</v>
      </c>
      <c r="O7" s="449">
        <f>landbouw!O8</f>
        <v>0</v>
      </c>
      <c r="P7" s="450">
        <f>landbouw!P8</f>
        <v>0</v>
      </c>
      <c r="Q7" s="448">
        <f t="shared" si="0"/>
        <v>5305.0385427262772</v>
      </c>
    </row>
    <row r="8" spans="1:17">
      <c r="A8" s="448" t="s">
        <v>643</v>
      </c>
      <c r="B8" s="449">
        <f>industrie!B18</f>
        <v>45739.955029455348</v>
      </c>
      <c r="C8" s="449">
        <f>industrie!C18</f>
        <v>0</v>
      </c>
      <c r="D8" s="449">
        <f>industrie!D18</f>
        <v>61745.151427236378</v>
      </c>
      <c r="E8" s="449">
        <f>industrie!E18</f>
        <v>435.98809743618642</v>
      </c>
      <c r="F8" s="449">
        <f>industrie!F18</f>
        <v>10748.93524841505</v>
      </c>
      <c r="G8" s="449">
        <f>industrie!G18</f>
        <v>0</v>
      </c>
      <c r="H8" s="449">
        <f>industrie!H18</f>
        <v>0</v>
      </c>
      <c r="I8" s="449">
        <f>industrie!I18</f>
        <v>0</v>
      </c>
      <c r="J8" s="449">
        <f>industrie!J18</f>
        <v>285.99615232945877</v>
      </c>
      <c r="K8" s="449">
        <f>industrie!K18</f>
        <v>0</v>
      </c>
      <c r="L8" s="449">
        <f>industrie!L18</f>
        <v>0</v>
      </c>
      <c r="M8" s="449">
        <f>industrie!M18</f>
        <v>0</v>
      </c>
      <c r="N8" s="449">
        <f>industrie!N18</f>
        <v>977.19150682571421</v>
      </c>
      <c r="O8" s="449">
        <f>industrie!O18</f>
        <v>0</v>
      </c>
      <c r="P8" s="450">
        <f>industrie!P18</f>
        <v>0</v>
      </c>
      <c r="Q8" s="448">
        <f t="shared" si="0"/>
        <v>119933.21746169812</v>
      </c>
    </row>
    <row r="9" spans="1:17" s="454" customFormat="1">
      <c r="A9" s="452" t="s">
        <v>562</v>
      </c>
      <c r="B9" s="453">
        <f>transport!B14</f>
        <v>7.7683232707188692</v>
      </c>
      <c r="C9" s="453">
        <f>transport!C14</f>
        <v>0</v>
      </c>
      <c r="D9" s="453">
        <f>transport!D14</f>
        <v>26.470009016271938</v>
      </c>
      <c r="E9" s="453">
        <f>transport!E14</f>
        <v>3072.4152808833173</v>
      </c>
      <c r="F9" s="453">
        <f>transport!F14</f>
        <v>0</v>
      </c>
      <c r="G9" s="453">
        <f>transport!G14</f>
        <v>512189.02474552434</v>
      </c>
      <c r="H9" s="453">
        <f>transport!H14</f>
        <v>90033.801711401975</v>
      </c>
      <c r="I9" s="453">
        <f>transport!I14</f>
        <v>0</v>
      </c>
      <c r="J9" s="453">
        <f>transport!J14</f>
        <v>0</v>
      </c>
      <c r="K9" s="453">
        <f>transport!K14</f>
        <v>0</v>
      </c>
      <c r="L9" s="453">
        <f>transport!L14</f>
        <v>0</v>
      </c>
      <c r="M9" s="453">
        <f>transport!M14</f>
        <v>26208.493061618829</v>
      </c>
      <c r="N9" s="453">
        <f>transport!N14</f>
        <v>0</v>
      </c>
      <c r="O9" s="453">
        <f>transport!O14</f>
        <v>0</v>
      </c>
      <c r="P9" s="453">
        <f>transport!P14</f>
        <v>0</v>
      </c>
      <c r="Q9" s="452">
        <f>SUM(B9:P9)</f>
        <v>631537.97313171555</v>
      </c>
    </row>
    <row r="10" spans="1:17">
      <c r="A10" s="448" t="s">
        <v>552</v>
      </c>
      <c r="B10" s="449">
        <f>transport!B54</f>
        <v>37.893192581433688</v>
      </c>
      <c r="C10" s="449">
        <f>transport!C54</f>
        <v>0</v>
      </c>
      <c r="D10" s="449">
        <f>transport!D54</f>
        <v>0</v>
      </c>
      <c r="E10" s="449">
        <f>transport!E54</f>
        <v>0</v>
      </c>
      <c r="F10" s="449">
        <f>transport!F54</f>
        <v>0</v>
      </c>
      <c r="G10" s="449">
        <f>transport!G54</f>
        <v>8220.5476882559306</v>
      </c>
      <c r="H10" s="449">
        <f>transport!H54</f>
        <v>0</v>
      </c>
      <c r="I10" s="449">
        <f>transport!I54</f>
        <v>0</v>
      </c>
      <c r="J10" s="449">
        <f>transport!J54</f>
        <v>0</v>
      </c>
      <c r="K10" s="449">
        <f>transport!K54</f>
        <v>0</v>
      </c>
      <c r="L10" s="449">
        <f>transport!L54</f>
        <v>0</v>
      </c>
      <c r="M10" s="449">
        <f>transport!M54</f>
        <v>351.97227484030401</v>
      </c>
      <c r="N10" s="449">
        <f>transport!N54</f>
        <v>0</v>
      </c>
      <c r="O10" s="449">
        <f>transport!O54</f>
        <v>0</v>
      </c>
      <c r="P10" s="450">
        <f>transport!P54</f>
        <v>0</v>
      </c>
      <c r="Q10" s="448">
        <f t="shared" si="0"/>
        <v>8610.4131556776683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4094.0345562448401</v>
      </c>
      <c r="C14" s="456"/>
      <c r="D14" s="456">
        <f>'SEAP template'!E25</f>
        <v>8903.6936047151703</v>
      </c>
      <c r="E14" s="456"/>
      <c r="F14" s="456"/>
      <c r="G14" s="456"/>
      <c r="H14" s="456"/>
      <c r="I14" s="456"/>
      <c r="J14" s="456"/>
      <c r="K14" s="456"/>
      <c r="L14" s="456"/>
      <c r="M14" s="456"/>
      <c r="N14" s="456"/>
      <c r="O14" s="456"/>
      <c r="P14" s="457"/>
      <c r="Q14" s="448">
        <f t="shared" si="0"/>
        <v>12997.72816096001</v>
      </c>
    </row>
    <row r="15" spans="1:17" s="461" customFormat="1">
      <c r="A15" s="458" t="s">
        <v>556</v>
      </c>
      <c r="B15" s="459">
        <f ca="1">SUM(B4:B14)</f>
        <v>170777.00095828404</v>
      </c>
      <c r="C15" s="459">
        <f t="shared" ref="C15:Q15" ca="1" si="1">SUM(C4:C14)</f>
        <v>0</v>
      </c>
      <c r="D15" s="459">
        <f t="shared" ca="1" si="1"/>
        <v>308055.67020710249</v>
      </c>
      <c r="E15" s="459">
        <f t="shared" si="1"/>
        <v>7594.1129618256327</v>
      </c>
      <c r="F15" s="459">
        <f t="shared" ca="1" si="1"/>
        <v>126713.46369892854</v>
      </c>
      <c r="G15" s="459">
        <f t="shared" si="1"/>
        <v>520409.5724337803</v>
      </c>
      <c r="H15" s="459">
        <f t="shared" si="1"/>
        <v>90033.801711401975</v>
      </c>
      <c r="I15" s="459">
        <f t="shared" si="1"/>
        <v>0</v>
      </c>
      <c r="J15" s="459">
        <f t="shared" si="1"/>
        <v>2697.6048401131238</v>
      </c>
      <c r="K15" s="459">
        <f t="shared" si="1"/>
        <v>0</v>
      </c>
      <c r="L15" s="459">
        <f t="shared" ca="1" si="1"/>
        <v>0</v>
      </c>
      <c r="M15" s="459">
        <f t="shared" si="1"/>
        <v>26560.465336459132</v>
      </c>
      <c r="N15" s="459">
        <f t="shared" ca="1" si="1"/>
        <v>21918.325110546692</v>
      </c>
      <c r="O15" s="459">
        <f t="shared" si="1"/>
        <v>165.71333333333337</v>
      </c>
      <c r="P15" s="459">
        <f t="shared" si="1"/>
        <v>514.80000000000007</v>
      </c>
      <c r="Q15" s="459">
        <f t="shared" ca="1" si="1"/>
        <v>1275440.5305917754</v>
      </c>
    </row>
    <row r="17" spans="1:17">
      <c r="A17" s="462" t="s">
        <v>557</v>
      </c>
      <c r="B17" s="766">
        <f ca="1">huishoudens!B10</f>
        <v>0.21744390269420408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15649.714207327821</v>
      </c>
      <c r="C22" s="449">
        <f t="shared" ref="C22:C32" ca="1" si="3">C4*$C$17</f>
        <v>0</v>
      </c>
      <c r="D22" s="449">
        <f t="shared" ref="D22:D32" si="4">D4*$D$17</f>
        <v>36498.654114331337</v>
      </c>
      <c r="E22" s="449">
        <f t="shared" ref="E22:E32" si="5">E4*$E$17</f>
        <v>689.1238323236006</v>
      </c>
      <c r="F22" s="449">
        <f t="shared" ref="F22:F32" si="6">F4*$F$17</f>
        <v>27667.816822827608</v>
      </c>
      <c r="G22" s="449">
        <f t="shared" ref="G22:G32" si="7">G4*$G$17</f>
        <v>0</v>
      </c>
      <c r="H22" s="449">
        <f t="shared" ref="H22:H32" si="8">H4*$H$17</f>
        <v>0</v>
      </c>
      <c r="I22" s="449">
        <f t="shared" ref="I22:I32" si="9">I4*$I$17</f>
        <v>0</v>
      </c>
      <c r="J22" s="449">
        <f t="shared" ref="J22:J32" si="10">J4*$J$17</f>
        <v>826.01205056929518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81331.321027379658</v>
      </c>
    </row>
    <row r="23" spans="1:17">
      <c r="A23" s="448" t="s">
        <v>155</v>
      </c>
      <c r="B23" s="449">
        <f t="shared" ca="1" si="2"/>
        <v>10009.489828606478</v>
      </c>
      <c r="C23" s="449">
        <f t="shared" ca="1" si="3"/>
        <v>0</v>
      </c>
      <c r="D23" s="449">
        <f t="shared" ca="1" si="4"/>
        <v>11332.738407644392</v>
      </c>
      <c r="E23" s="449">
        <f t="shared" si="5"/>
        <v>236.24964462330928</v>
      </c>
      <c r="F23" s="449">
        <f t="shared" ca="1" si="6"/>
        <v>2293.3915394698738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23871.869420344054</v>
      </c>
    </row>
    <row r="24" spans="1:17">
      <c r="A24" s="448" t="s">
        <v>193</v>
      </c>
      <c r="B24" s="449">
        <f t="shared" ca="1" si="2"/>
        <v>438.6904643587244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438.6904643587244</v>
      </c>
    </row>
    <row r="25" spans="1:17">
      <c r="A25" s="448" t="s">
        <v>111</v>
      </c>
      <c r="B25" s="449">
        <f t="shared" ca="1" si="2"/>
        <v>190.49707794129347</v>
      </c>
      <c r="C25" s="449">
        <f t="shared" ca="1" si="3"/>
        <v>0</v>
      </c>
      <c r="D25" s="449">
        <f t="shared" si="4"/>
        <v>119.43922158348251</v>
      </c>
      <c r="E25" s="449">
        <f t="shared" si="5"/>
        <v>2.0825985089814387</v>
      </c>
      <c r="F25" s="449">
        <f t="shared" si="6"/>
        <v>1001.3207339896197</v>
      </c>
      <c r="G25" s="449">
        <f t="shared" si="7"/>
        <v>0</v>
      </c>
      <c r="H25" s="449">
        <f t="shared" si="8"/>
        <v>0</v>
      </c>
      <c r="I25" s="449">
        <f t="shared" si="9"/>
        <v>0</v>
      </c>
      <c r="J25" s="449">
        <f t="shared" si="10"/>
        <v>27.697424906122254</v>
      </c>
      <c r="K25" s="449">
        <f t="shared" si="11"/>
        <v>0</v>
      </c>
      <c r="L25" s="449">
        <f t="shared" si="12"/>
        <v>0</v>
      </c>
      <c r="M25" s="449">
        <f t="shared" si="13"/>
        <v>0</v>
      </c>
      <c r="N25" s="449">
        <f t="shared" si="14"/>
        <v>0</v>
      </c>
      <c r="O25" s="449">
        <f t="shared" si="15"/>
        <v>0</v>
      </c>
      <c r="P25" s="450">
        <f t="shared" si="16"/>
        <v>0</v>
      </c>
      <c r="Q25" s="448">
        <f t="shared" ca="1" si="17"/>
        <v>1341.0370569294994</v>
      </c>
    </row>
    <row r="26" spans="1:17">
      <c r="A26" s="448" t="s">
        <v>643</v>
      </c>
      <c r="B26" s="449">
        <f t="shared" ca="1" si="2"/>
        <v>9945.87433066216</v>
      </c>
      <c r="C26" s="449">
        <f t="shared" ca="1" si="3"/>
        <v>0</v>
      </c>
      <c r="D26" s="449">
        <f t="shared" si="4"/>
        <v>12472.52058830175</v>
      </c>
      <c r="E26" s="449">
        <f t="shared" si="5"/>
        <v>98.969298118014322</v>
      </c>
      <c r="F26" s="449">
        <f t="shared" si="6"/>
        <v>2869.9657113268186</v>
      </c>
      <c r="G26" s="449">
        <f t="shared" si="7"/>
        <v>0</v>
      </c>
      <c r="H26" s="449">
        <f t="shared" si="8"/>
        <v>0</v>
      </c>
      <c r="I26" s="449">
        <f t="shared" si="9"/>
        <v>0</v>
      </c>
      <c r="J26" s="449">
        <f t="shared" si="10"/>
        <v>101.2426379246284</v>
      </c>
      <c r="K26" s="449">
        <f t="shared" si="11"/>
        <v>0</v>
      </c>
      <c r="L26" s="449">
        <f t="shared" si="12"/>
        <v>0</v>
      </c>
      <c r="M26" s="449">
        <f t="shared" si="13"/>
        <v>0</v>
      </c>
      <c r="N26" s="449">
        <f t="shared" si="14"/>
        <v>0</v>
      </c>
      <c r="O26" s="449">
        <f t="shared" si="15"/>
        <v>0</v>
      </c>
      <c r="P26" s="450">
        <f t="shared" si="16"/>
        <v>0</v>
      </c>
      <c r="Q26" s="448">
        <f t="shared" ca="1" si="17"/>
        <v>25488.572566333372</v>
      </c>
    </row>
    <row r="27" spans="1:17" s="454" customFormat="1">
      <c r="A27" s="452" t="s">
        <v>562</v>
      </c>
      <c r="B27" s="760">
        <f t="shared" ca="1" si="2"/>
        <v>1.6891745293753149</v>
      </c>
      <c r="C27" s="453">
        <f t="shared" ca="1" si="3"/>
        <v>0</v>
      </c>
      <c r="D27" s="453">
        <f t="shared" si="4"/>
        <v>5.346941821286932</v>
      </c>
      <c r="E27" s="453">
        <f t="shared" si="5"/>
        <v>697.4382687605131</v>
      </c>
      <c r="F27" s="453">
        <f t="shared" si="6"/>
        <v>0</v>
      </c>
      <c r="G27" s="453">
        <f t="shared" si="7"/>
        <v>136754.46960705501</v>
      </c>
      <c r="H27" s="453">
        <f t="shared" si="8"/>
        <v>22418.416626139093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159877.36061830528</v>
      </c>
    </row>
    <row r="28" spans="1:17">
      <c r="A28" s="448" t="s">
        <v>552</v>
      </c>
      <c r="B28" s="449">
        <f t="shared" ca="1" si="2"/>
        <v>8.2396436804500031</v>
      </c>
      <c r="C28" s="449">
        <f t="shared" ca="1" si="3"/>
        <v>0</v>
      </c>
      <c r="D28" s="449">
        <f t="shared" si="4"/>
        <v>0</v>
      </c>
      <c r="E28" s="449">
        <f t="shared" si="5"/>
        <v>0</v>
      </c>
      <c r="F28" s="449">
        <f t="shared" si="6"/>
        <v>0</v>
      </c>
      <c r="G28" s="449">
        <f t="shared" si="7"/>
        <v>2194.8862327643337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2203.1258764447839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890.22285167481198</v>
      </c>
      <c r="C32" s="449">
        <f t="shared" ca="1" si="3"/>
        <v>0</v>
      </c>
      <c r="D32" s="449">
        <f t="shared" si="4"/>
        <v>1798.5461081524645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2688.7689598272764</v>
      </c>
    </row>
    <row r="33" spans="1:17" s="461" customFormat="1">
      <c r="A33" s="458" t="s">
        <v>556</v>
      </c>
      <c r="B33" s="459">
        <f ca="1">SUM(B22:B32)</f>
        <v>37134.417578781118</v>
      </c>
      <c r="C33" s="459">
        <f t="shared" ref="C33:Q33" ca="1" si="19">SUM(C22:C32)</f>
        <v>0</v>
      </c>
      <c r="D33" s="459">
        <f t="shared" ca="1" si="19"/>
        <v>62227.245381834706</v>
      </c>
      <c r="E33" s="459">
        <f t="shared" si="19"/>
        <v>1723.8636423344187</v>
      </c>
      <c r="F33" s="459">
        <f t="shared" ca="1" si="19"/>
        <v>33832.494807613919</v>
      </c>
      <c r="G33" s="459">
        <f t="shared" si="19"/>
        <v>138949.35583981936</v>
      </c>
      <c r="H33" s="459">
        <f t="shared" si="19"/>
        <v>22418.416626139093</v>
      </c>
      <c r="I33" s="459">
        <f t="shared" si="19"/>
        <v>0</v>
      </c>
      <c r="J33" s="459">
        <f t="shared" si="19"/>
        <v>954.95211340004585</v>
      </c>
      <c r="K33" s="459">
        <f t="shared" si="19"/>
        <v>0</v>
      </c>
      <c r="L33" s="459">
        <f t="shared" ca="1" si="19"/>
        <v>0</v>
      </c>
      <c r="M33" s="459">
        <f t="shared" si="19"/>
        <v>0</v>
      </c>
      <c r="N33" s="459">
        <f t="shared" ca="1" si="19"/>
        <v>0</v>
      </c>
      <c r="O33" s="459">
        <f t="shared" si="19"/>
        <v>0</v>
      </c>
      <c r="P33" s="459">
        <f t="shared" si="19"/>
        <v>0</v>
      </c>
      <c r="Q33" s="459">
        <f t="shared" ca="1" si="19"/>
        <v>297240.74598992261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2747.9621402699618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2747.9621402699618</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0.21744390269420408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0.21744390269420408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0.21744390269420408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0.21744390269420408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16410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1234</v>
      </c>
      <c r="C14" s="326"/>
      <c r="D14" s="326"/>
      <c r="E14" s="326"/>
      <c r="F14" s="326"/>
    </row>
    <row r="15" spans="1:6">
      <c r="A15" s="1282" t="s">
        <v>183</v>
      </c>
      <c r="B15" s="1283">
        <v>1</v>
      </c>
      <c r="C15" s="326"/>
      <c r="D15" s="326"/>
      <c r="E15" s="326"/>
      <c r="F15" s="326"/>
    </row>
    <row r="16" spans="1:6">
      <c r="A16" s="1282" t="s">
        <v>6</v>
      </c>
      <c r="B16" s="1283">
        <v>22</v>
      </c>
      <c r="C16" s="326"/>
      <c r="D16" s="326"/>
      <c r="E16" s="326"/>
      <c r="F16" s="326"/>
    </row>
    <row r="17" spans="1:6">
      <c r="A17" s="1282" t="s">
        <v>7</v>
      </c>
      <c r="B17" s="1283">
        <v>389</v>
      </c>
      <c r="C17" s="326"/>
      <c r="D17" s="326"/>
      <c r="E17" s="326"/>
      <c r="F17" s="326"/>
    </row>
    <row r="18" spans="1:6">
      <c r="A18" s="1282" t="s">
        <v>8</v>
      </c>
      <c r="B18" s="1283">
        <v>460</v>
      </c>
      <c r="C18" s="326"/>
      <c r="D18" s="326"/>
      <c r="E18" s="326"/>
      <c r="F18" s="326"/>
    </row>
    <row r="19" spans="1:6">
      <c r="A19" s="1282" t="s">
        <v>9</v>
      </c>
      <c r="B19" s="1283">
        <v>332</v>
      </c>
      <c r="C19" s="326"/>
      <c r="D19" s="326"/>
      <c r="E19" s="326"/>
      <c r="F19" s="326"/>
    </row>
    <row r="20" spans="1:6">
      <c r="A20" s="1282" t="s">
        <v>10</v>
      </c>
      <c r="B20" s="1283">
        <v>280</v>
      </c>
      <c r="C20" s="326"/>
      <c r="D20" s="326"/>
      <c r="E20" s="326"/>
      <c r="F20" s="326"/>
    </row>
    <row r="21" spans="1:6">
      <c r="A21" s="1282" t="s">
        <v>11</v>
      </c>
      <c r="B21" s="1283">
        <v>0</v>
      </c>
      <c r="C21" s="326"/>
      <c r="D21" s="326"/>
      <c r="E21" s="326"/>
      <c r="F21" s="326"/>
    </row>
    <row r="22" spans="1:6">
      <c r="A22" s="1282" t="s">
        <v>12</v>
      </c>
      <c r="B22" s="1283">
        <v>29</v>
      </c>
      <c r="C22" s="326"/>
      <c r="D22" s="326"/>
      <c r="E22" s="326"/>
      <c r="F22" s="326"/>
    </row>
    <row r="23" spans="1:6">
      <c r="A23" s="1282" t="s">
        <v>13</v>
      </c>
      <c r="B23" s="1283">
        <v>0</v>
      </c>
      <c r="C23" s="326"/>
      <c r="D23" s="326"/>
      <c r="E23" s="326"/>
      <c r="F23" s="326"/>
    </row>
    <row r="24" spans="1:6">
      <c r="A24" s="1282" t="s">
        <v>14</v>
      </c>
      <c r="B24" s="1283">
        <v>2</v>
      </c>
      <c r="C24" s="326"/>
      <c r="D24" s="326"/>
      <c r="E24" s="326"/>
      <c r="F24" s="326"/>
    </row>
    <row r="25" spans="1:6">
      <c r="A25" s="1282" t="s">
        <v>15</v>
      </c>
      <c r="B25" s="1283">
        <v>9</v>
      </c>
      <c r="C25" s="326"/>
      <c r="D25" s="326"/>
      <c r="E25" s="326"/>
      <c r="F25" s="326"/>
    </row>
    <row r="26" spans="1:6">
      <c r="A26" s="1282" t="s">
        <v>16</v>
      </c>
      <c r="B26" s="1283">
        <v>45</v>
      </c>
      <c r="C26" s="326"/>
      <c r="D26" s="326"/>
      <c r="E26" s="326"/>
      <c r="F26" s="326"/>
    </row>
    <row r="27" spans="1:6">
      <c r="A27" s="1282" t="s">
        <v>17</v>
      </c>
      <c r="B27" s="1283">
        <v>8</v>
      </c>
      <c r="C27" s="326"/>
      <c r="D27" s="326"/>
      <c r="E27" s="326"/>
      <c r="F27" s="326"/>
    </row>
    <row r="28" spans="1:6" s="43" customFormat="1">
      <c r="A28" s="1284" t="s">
        <v>18</v>
      </c>
      <c r="B28" s="1285">
        <v>466</v>
      </c>
      <c r="C28" s="332"/>
      <c r="D28" s="332"/>
      <c r="E28" s="332"/>
      <c r="F28" s="332"/>
    </row>
    <row r="29" spans="1:6">
      <c r="A29" s="1284" t="s">
        <v>978</v>
      </c>
      <c r="B29" s="1285">
        <v>235</v>
      </c>
      <c r="C29" s="332"/>
      <c r="D29" s="332"/>
      <c r="E29" s="332"/>
      <c r="F29" s="332"/>
    </row>
    <row r="30" spans="1:6">
      <c r="A30" s="1277" t="s">
        <v>979</v>
      </c>
      <c r="B30" s="1286">
        <v>38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3</v>
      </c>
      <c r="F35" s="1283">
        <v>15762</v>
      </c>
    </row>
    <row r="36" spans="1:6">
      <c r="A36" s="1282" t="s">
        <v>24</v>
      </c>
      <c r="B36" s="1282" t="s">
        <v>26</v>
      </c>
      <c r="C36" s="1283">
        <v>0</v>
      </c>
      <c r="D36" s="1283">
        <v>0</v>
      </c>
      <c r="E36" s="1283">
        <v>3</v>
      </c>
      <c r="F36" s="1283">
        <v>272490.14893159998</v>
      </c>
    </row>
    <row r="37" spans="1:6">
      <c r="A37" s="1282" t="s">
        <v>24</v>
      </c>
      <c r="B37" s="1282" t="s">
        <v>27</v>
      </c>
      <c r="C37" s="1283">
        <v>0</v>
      </c>
      <c r="D37" s="1283">
        <v>0</v>
      </c>
      <c r="E37" s="1283">
        <v>0</v>
      </c>
      <c r="F37" s="1283">
        <v>0</v>
      </c>
    </row>
    <row r="38" spans="1:6">
      <c r="A38" s="1282" t="s">
        <v>24</v>
      </c>
      <c r="B38" s="1282" t="s">
        <v>28</v>
      </c>
      <c r="C38" s="1283">
        <v>2</v>
      </c>
      <c r="D38" s="1283">
        <v>359248.32830130297</v>
      </c>
      <c r="E38" s="1283">
        <v>11</v>
      </c>
      <c r="F38" s="1283">
        <v>552832.95616303198</v>
      </c>
    </row>
    <row r="39" spans="1:6">
      <c r="A39" s="1282" t="s">
        <v>29</v>
      </c>
      <c r="B39" s="1282" t="s">
        <v>30</v>
      </c>
      <c r="C39" s="1283">
        <v>10628</v>
      </c>
      <c r="D39" s="1283">
        <v>200317523.843227</v>
      </c>
      <c r="E39" s="1283">
        <v>16086</v>
      </c>
      <c r="F39" s="1283">
        <v>69906476.259201705</v>
      </c>
    </row>
    <row r="40" spans="1:6">
      <c r="A40" s="1282" t="s">
        <v>29</v>
      </c>
      <c r="B40" s="1282" t="s">
        <v>28</v>
      </c>
      <c r="C40" s="1283">
        <v>0</v>
      </c>
      <c r="D40" s="1283">
        <v>0</v>
      </c>
      <c r="E40" s="1283">
        <v>0</v>
      </c>
      <c r="F40" s="1283">
        <v>0</v>
      </c>
    </row>
    <row r="41" spans="1:6">
      <c r="A41" s="1282" t="s">
        <v>31</v>
      </c>
      <c r="B41" s="1282" t="s">
        <v>32</v>
      </c>
      <c r="C41" s="1283">
        <v>51</v>
      </c>
      <c r="D41" s="1283">
        <v>2331037.9324156698</v>
      </c>
      <c r="E41" s="1283">
        <v>149</v>
      </c>
      <c r="F41" s="1283">
        <v>2865031.4512872398</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54551.916135929001</v>
      </c>
      <c r="E44" s="1283">
        <v>7</v>
      </c>
      <c r="F44" s="1283">
        <v>78247.097107278605</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6</v>
      </c>
      <c r="F47" s="1283">
        <v>43462.096820508603</v>
      </c>
    </row>
    <row r="48" spans="1:6">
      <c r="A48" s="1282" t="s">
        <v>31</v>
      </c>
      <c r="B48" s="1282" t="s">
        <v>28</v>
      </c>
      <c r="C48" s="1283">
        <v>76</v>
      </c>
      <c r="D48" s="1283">
        <v>65195619.117075898</v>
      </c>
      <c r="E48" s="1283">
        <v>111</v>
      </c>
      <c r="F48" s="1283">
        <v>41319355.631396003</v>
      </c>
    </row>
    <row r="49" spans="1:6">
      <c r="A49" s="1282" t="s">
        <v>31</v>
      </c>
      <c r="B49" s="1282" t="s">
        <v>39</v>
      </c>
      <c r="C49" s="1283">
        <v>0</v>
      </c>
      <c r="D49" s="1283">
        <v>0</v>
      </c>
      <c r="E49" s="1283">
        <v>0</v>
      </c>
      <c r="F49" s="1283">
        <v>0</v>
      </c>
    </row>
    <row r="50" spans="1:6">
      <c r="A50" s="1282" t="s">
        <v>31</v>
      </c>
      <c r="B50" s="1282" t="s">
        <v>40</v>
      </c>
      <c r="C50" s="1283">
        <v>9</v>
      </c>
      <c r="D50" s="1283">
        <v>872395.72088734002</v>
      </c>
      <c r="E50" s="1283">
        <v>20</v>
      </c>
      <c r="F50" s="1283">
        <v>1433858.7528443199</v>
      </c>
    </row>
    <row r="51" spans="1:6">
      <c r="A51" s="1282" t="s">
        <v>41</v>
      </c>
      <c r="B51" s="1282" t="s">
        <v>42</v>
      </c>
      <c r="C51" s="1283">
        <v>7</v>
      </c>
      <c r="D51" s="1283">
        <v>173488.81019567599</v>
      </c>
      <c r="E51" s="1283">
        <v>81</v>
      </c>
      <c r="F51" s="1283">
        <v>643135.29832733702</v>
      </c>
    </row>
    <row r="52" spans="1:6">
      <c r="A52" s="1282" t="s">
        <v>41</v>
      </c>
      <c r="B52" s="1282" t="s">
        <v>28</v>
      </c>
      <c r="C52" s="1283">
        <v>14</v>
      </c>
      <c r="D52" s="1283">
        <v>482035.88511003897</v>
      </c>
      <c r="E52" s="1283">
        <v>12</v>
      </c>
      <c r="F52" s="1283">
        <v>232939.291858774</v>
      </c>
    </row>
    <row r="53" spans="1:6">
      <c r="A53" s="1282" t="s">
        <v>43</v>
      </c>
      <c r="B53" s="1282" t="s">
        <v>44</v>
      </c>
      <c r="C53" s="1283">
        <v>419</v>
      </c>
      <c r="D53" s="1283">
        <v>8903693.6047151703</v>
      </c>
      <c r="E53" s="1283">
        <v>707</v>
      </c>
      <c r="F53" s="1283">
        <v>4094034.5562448399</v>
      </c>
    </row>
    <row r="54" spans="1:6">
      <c r="A54" s="1282" t="s">
        <v>45</v>
      </c>
      <c r="B54" s="1282" t="s">
        <v>46</v>
      </c>
      <c r="C54" s="1283">
        <v>0</v>
      </c>
      <c r="D54" s="1283">
        <v>0</v>
      </c>
      <c r="E54" s="1283">
        <v>1</v>
      </c>
      <c r="F54" s="1283">
        <v>2017488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81</v>
      </c>
      <c r="D57" s="1283">
        <v>6561083.82201239</v>
      </c>
      <c r="E57" s="1283">
        <v>207</v>
      </c>
      <c r="F57" s="1283">
        <v>4235344.8801235799</v>
      </c>
    </row>
    <row r="58" spans="1:6">
      <c r="A58" s="1282" t="s">
        <v>48</v>
      </c>
      <c r="B58" s="1282" t="s">
        <v>50</v>
      </c>
      <c r="C58" s="1283">
        <v>35</v>
      </c>
      <c r="D58" s="1283">
        <v>1789654.52619172</v>
      </c>
      <c r="E58" s="1283">
        <v>55</v>
      </c>
      <c r="F58" s="1283">
        <v>1788897.34068645</v>
      </c>
    </row>
    <row r="59" spans="1:6">
      <c r="A59" s="1282" t="s">
        <v>48</v>
      </c>
      <c r="B59" s="1282" t="s">
        <v>51</v>
      </c>
      <c r="C59" s="1283">
        <v>161</v>
      </c>
      <c r="D59" s="1283">
        <v>8571198.6106815208</v>
      </c>
      <c r="E59" s="1283">
        <v>371</v>
      </c>
      <c r="F59" s="1283">
        <v>12832099.2208248</v>
      </c>
    </row>
    <row r="60" spans="1:6">
      <c r="A60" s="1282" t="s">
        <v>48</v>
      </c>
      <c r="B60" s="1282" t="s">
        <v>52</v>
      </c>
      <c r="C60" s="1283">
        <v>88</v>
      </c>
      <c r="D60" s="1283">
        <v>4614906.3781532701</v>
      </c>
      <c r="E60" s="1283">
        <v>129</v>
      </c>
      <c r="F60" s="1283">
        <v>6472147.3691111403</v>
      </c>
    </row>
    <row r="61" spans="1:6">
      <c r="A61" s="1282" t="s">
        <v>48</v>
      </c>
      <c r="B61" s="1282" t="s">
        <v>53</v>
      </c>
      <c r="C61" s="1283">
        <v>279</v>
      </c>
      <c r="D61" s="1283">
        <v>20590298.669716202</v>
      </c>
      <c r="E61" s="1283">
        <v>656</v>
      </c>
      <c r="F61" s="1283">
        <v>11279630.733809801</v>
      </c>
    </row>
    <row r="62" spans="1:6">
      <c r="A62" s="1282" t="s">
        <v>48</v>
      </c>
      <c r="B62" s="1282" t="s">
        <v>54</v>
      </c>
      <c r="C62" s="1283">
        <v>14</v>
      </c>
      <c r="D62" s="1283">
        <v>2214817.45993745</v>
      </c>
      <c r="E62" s="1283">
        <v>18</v>
      </c>
      <c r="F62" s="1283">
        <v>665397.89033115399</v>
      </c>
    </row>
    <row r="63" spans="1:6">
      <c r="A63" s="1282" t="s">
        <v>48</v>
      </c>
      <c r="B63" s="1282" t="s">
        <v>28</v>
      </c>
      <c r="C63" s="1283">
        <v>270</v>
      </c>
      <c r="D63" s="1283">
        <v>17856117.4561214</v>
      </c>
      <c r="E63" s="1283">
        <v>318</v>
      </c>
      <c r="F63" s="1283">
        <v>8758998.0993979499</v>
      </c>
    </row>
    <row r="64" spans="1:6">
      <c r="A64" s="1282" t="s">
        <v>55</v>
      </c>
      <c r="B64" s="1282" t="s">
        <v>56</v>
      </c>
      <c r="C64" s="1283">
        <v>0</v>
      </c>
      <c r="D64" s="1283">
        <v>0</v>
      </c>
      <c r="E64" s="1283">
        <v>0</v>
      </c>
      <c r="F64" s="1283">
        <v>0</v>
      </c>
    </row>
    <row r="65" spans="1:6">
      <c r="A65" s="1282" t="s">
        <v>55</v>
      </c>
      <c r="B65" s="1282" t="s">
        <v>28</v>
      </c>
      <c r="C65" s="1283">
        <v>7</v>
      </c>
      <c r="D65" s="1283">
        <v>436664.22337337403</v>
      </c>
      <c r="E65" s="1283">
        <v>10</v>
      </c>
      <c r="F65" s="1283">
        <v>54883.298770370799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206712.875797057</v>
      </c>
      <c r="E68" s="1286">
        <v>22</v>
      </c>
      <c r="F68" s="1286">
        <v>623986.94967596303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128151736</v>
      </c>
      <c r="E73" s="447"/>
      <c r="F73" s="326"/>
    </row>
    <row r="74" spans="1:6">
      <c r="A74" s="1282" t="s">
        <v>63</v>
      </c>
      <c r="B74" s="1282" t="s">
        <v>760</v>
      </c>
      <c r="C74" s="1296" t="s">
        <v>761</v>
      </c>
      <c r="D74" s="1297">
        <v>3334889.0317318398</v>
      </c>
      <c r="E74" s="447"/>
      <c r="F74" s="326"/>
    </row>
    <row r="75" spans="1:6">
      <c r="A75" s="1282" t="s">
        <v>64</v>
      </c>
      <c r="B75" s="1282" t="s">
        <v>758</v>
      </c>
      <c r="C75" s="1296" t="s">
        <v>762</v>
      </c>
      <c r="D75" s="1297">
        <v>127171585</v>
      </c>
      <c r="E75" s="447"/>
      <c r="F75" s="326"/>
    </row>
    <row r="76" spans="1:6">
      <c r="A76" s="1282" t="s">
        <v>64</v>
      </c>
      <c r="B76" s="1282" t="s">
        <v>760</v>
      </c>
      <c r="C76" s="1296" t="s">
        <v>763</v>
      </c>
      <c r="D76" s="1297">
        <v>1842062.0317318398</v>
      </c>
      <c r="E76" s="447"/>
      <c r="F76" s="326"/>
    </row>
    <row r="77" spans="1:6">
      <c r="A77" s="1282" t="s">
        <v>65</v>
      </c>
      <c r="B77" s="1282" t="s">
        <v>758</v>
      </c>
      <c r="C77" s="1296" t="s">
        <v>764</v>
      </c>
      <c r="D77" s="1297">
        <v>454198111</v>
      </c>
      <c r="E77" s="447"/>
      <c r="F77" s="326"/>
    </row>
    <row r="78" spans="1:6">
      <c r="A78" s="1277" t="s">
        <v>65</v>
      </c>
      <c r="B78" s="1277" t="s">
        <v>760</v>
      </c>
      <c r="C78" s="1277" t="s">
        <v>765</v>
      </c>
      <c r="D78" s="1298">
        <v>43058607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2254661.9365363205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2064.7954730590168</v>
      </c>
      <c r="C91" s="326"/>
      <c r="D91" s="326"/>
      <c r="E91" s="326"/>
      <c r="F91" s="326"/>
    </row>
    <row r="92" spans="1:6">
      <c r="A92" s="1277" t="s">
        <v>68</v>
      </c>
      <c r="B92" s="1278">
        <v>683.16666721094509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7949</v>
      </c>
      <c r="C97" s="326"/>
      <c r="D97" s="326"/>
      <c r="E97" s="326"/>
      <c r="F97" s="326"/>
    </row>
    <row r="98" spans="1:6">
      <c r="A98" s="1282" t="s">
        <v>71</v>
      </c>
      <c r="B98" s="1283">
        <v>7</v>
      </c>
      <c r="C98" s="326"/>
      <c r="D98" s="326"/>
      <c r="E98" s="326"/>
      <c r="F98" s="326"/>
    </row>
    <row r="99" spans="1:6">
      <c r="A99" s="1282" t="s">
        <v>72</v>
      </c>
      <c r="B99" s="1283">
        <v>122</v>
      </c>
      <c r="C99" s="326"/>
      <c r="D99" s="326"/>
      <c r="E99" s="326"/>
      <c r="F99" s="326"/>
    </row>
    <row r="100" spans="1:6">
      <c r="A100" s="1282" t="s">
        <v>73</v>
      </c>
      <c r="B100" s="1283">
        <v>1160</v>
      </c>
      <c r="C100" s="326"/>
      <c r="D100" s="326"/>
      <c r="E100" s="326"/>
      <c r="F100" s="326"/>
    </row>
    <row r="101" spans="1:6">
      <c r="A101" s="1282" t="s">
        <v>74</v>
      </c>
      <c r="B101" s="1283">
        <v>75</v>
      </c>
      <c r="C101" s="326"/>
      <c r="D101" s="326"/>
      <c r="E101" s="326"/>
      <c r="F101" s="326"/>
    </row>
    <row r="102" spans="1:6">
      <c r="A102" s="1282" t="s">
        <v>75</v>
      </c>
      <c r="B102" s="1283">
        <v>251</v>
      </c>
      <c r="C102" s="326"/>
      <c r="D102" s="326"/>
      <c r="E102" s="326"/>
      <c r="F102" s="326"/>
    </row>
    <row r="103" spans="1:6">
      <c r="A103" s="1282" t="s">
        <v>76</v>
      </c>
      <c r="B103" s="1283">
        <v>198</v>
      </c>
      <c r="C103" s="326"/>
      <c r="D103" s="326"/>
      <c r="E103" s="326"/>
      <c r="F103" s="326"/>
    </row>
    <row r="104" spans="1:6">
      <c r="A104" s="1282" t="s">
        <v>77</v>
      </c>
      <c r="B104" s="1283">
        <v>5082</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13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93</v>
      </c>
      <c r="C129" s="326"/>
      <c r="D129" s="326"/>
      <c r="E129" s="326"/>
      <c r="F129" s="326"/>
    </row>
    <row r="130" spans="1:6">
      <c r="A130" s="1282" t="s">
        <v>290</v>
      </c>
      <c r="B130" s="1283">
        <v>0</v>
      </c>
      <c r="C130" s="326"/>
      <c r="D130" s="326"/>
      <c r="E130" s="326"/>
      <c r="F130" s="326"/>
    </row>
    <row r="131" spans="1:6">
      <c r="A131" s="1282" t="s">
        <v>291</v>
      </c>
      <c r="B131" s="1283">
        <v>3</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170777.00095828404</v>
      </c>
      <c r="C3" s="43" t="s">
        <v>169</v>
      </c>
      <c r="D3" s="43"/>
      <c r="E3" s="156"/>
      <c r="F3" s="43"/>
      <c r="G3" s="43"/>
      <c r="H3" s="43"/>
      <c r="I3" s="43"/>
      <c r="J3" s="43"/>
      <c r="K3" s="96"/>
    </row>
    <row r="4" spans="1:11">
      <c r="A4" s="354" t="s">
        <v>170</v>
      </c>
      <c r="B4" s="49">
        <f>IF(ISERROR('SEAP template'!B78+'SEAP template'!C78),0,'SEAP template'!B78+'SEAP template'!C78)</f>
        <v>2747.9621402699618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0.21744390269420408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2017.4880000000001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2017.4880000000001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0.21744390269420408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438.6904643587244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69906.476259201707</v>
      </c>
      <c r="C5" s="17">
        <f>IF(ISERROR('Eigen informatie GS &amp; warmtenet'!B57),0,'Eigen informatie GS &amp; warmtenet'!B57)</f>
        <v>0</v>
      </c>
      <c r="D5" s="30">
        <f>(SUM(HH_hh_gas_kWh,HH_rest_gas_kWh)/1000)*0.902</f>
        <v>180686.40650659078</v>
      </c>
      <c r="E5" s="17">
        <f>B32*B41</f>
        <v>3035.7878075929539</v>
      </c>
      <c r="F5" s="17">
        <f>B36*B45</f>
        <v>103624.78210796857</v>
      </c>
      <c r="G5" s="18"/>
      <c r="H5" s="17"/>
      <c r="I5" s="17"/>
      <c r="J5" s="17">
        <f>B35*B44+C35*C44</f>
        <v>2333.3673744895345</v>
      </c>
      <c r="K5" s="17"/>
      <c r="L5" s="17"/>
      <c r="M5" s="17"/>
      <c r="N5" s="17">
        <f>B34*B43+C34*C43</f>
        <v>19605.937745837036</v>
      </c>
      <c r="O5" s="17">
        <f>B52*B53*B54</f>
        <v>165.71333333333337</v>
      </c>
      <c r="P5" s="17">
        <f>B60*B61*B62/1000-B60*B61*B62/1000/B63</f>
        <v>457.6</v>
      </c>
    </row>
    <row r="6" spans="1:16">
      <c r="A6" s="16" t="s">
        <v>621</v>
      </c>
      <c r="B6" s="768">
        <f>kWh_PV_kleiner_dan_10kW</f>
        <v>2064.7954730590168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71971.27173226072</v>
      </c>
      <c r="C8" s="21">
        <f>C5</f>
        <v>0</v>
      </c>
      <c r="D8" s="21">
        <f>D5</f>
        <v>180686.40650659078</v>
      </c>
      <c r="E8" s="21">
        <f>E5</f>
        <v>3035.7878075929539</v>
      </c>
      <c r="F8" s="21">
        <f>F5</f>
        <v>103624.78210796857</v>
      </c>
      <c r="G8" s="21"/>
      <c r="H8" s="21"/>
      <c r="I8" s="21"/>
      <c r="J8" s="21">
        <f>J5</f>
        <v>2333.3673744895345</v>
      </c>
      <c r="K8" s="21"/>
      <c r="L8" s="21">
        <f>L5</f>
        <v>0</v>
      </c>
      <c r="M8" s="21">
        <f>M5</f>
        <v>0</v>
      </c>
      <c r="N8" s="21">
        <f>N5</f>
        <v>19605.937745837036</v>
      </c>
      <c r="O8" s="21">
        <f>O5</f>
        <v>165.71333333333337</v>
      </c>
      <c r="P8" s="21">
        <f>P5</f>
        <v>457.6</v>
      </c>
    </row>
    <row r="9" spans="1:16">
      <c r="B9" s="19"/>
      <c r="C9" s="19"/>
      <c r="D9" s="256"/>
      <c r="E9" s="19"/>
      <c r="F9" s="19"/>
      <c r="G9" s="19"/>
      <c r="H9" s="19"/>
      <c r="I9" s="19"/>
      <c r="J9" s="19"/>
      <c r="K9" s="19"/>
      <c r="L9" s="19"/>
      <c r="M9" s="19"/>
      <c r="N9" s="19"/>
      <c r="O9" s="19"/>
      <c r="P9" s="19"/>
    </row>
    <row r="10" spans="1:16">
      <c r="A10" s="24" t="s">
        <v>213</v>
      </c>
      <c r="B10" s="25">
        <f ca="1">'EF ele_warmte'!B12</f>
        <v>0.21744390269420408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15649.714207327821</v>
      </c>
      <c r="C12" s="23">
        <f ca="1">C10*C8</f>
        <v>0</v>
      </c>
      <c r="D12" s="23">
        <f>D8*D10</f>
        <v>36498.654114331337</v>
      </c>
      <c r="E12" s="23">
        <f>E10*E8</f>
        <v>689.1238323236006</v>
      </c>
      <c r="F12" s="23">
        <f>F10*F8</f>
        <v>27667.816822827608</v>
      </c>
      <c r="G12" s="23"/>
      <c r="H12" s="23"/>
      <c r="I12" s="23"/>
      <c r="J12" s="23">
        <f>J10*J8</f>
        <v>826.01205056929518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16410</v>
      </c>
      <c r="C26" s="36"/>
      <c r="D26" s="226"/>
    </row>
    <row r="27" spans="1:5" s="15" customFormat="1">
      <c r="A27" s="228" t="s">
        <v>701</v>
      </c>
      <c r="B27" s="37">
        <f>SUM(HH_hh_gas_aantal,HH_rest_gas_aantal)</f>
        <v>10628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10096.6</v>
      </c>
      <c r="C31" s="34" t="s">
        <v>110</v>
      </c>
      <c r="D31" s="172"/>
    </row>
    <row r="32" spans="1:5">
      <c r="A32" s="169" t="s">
        <v>72</v>
      </c>
      <c r="B32" s="33">
        <f>IF((B21*($B$26-($B$27-0.05*$B$27)-$B$60))&lt;0,0,B21*($B$26-($B$27-0.05*$B$27)-$B$60))</f>
        <v>44.589133075598575</v>
      </c>
      <c r="C32" s="34" t="s">
        <v>110</v>
      </c>
      <c r="D32" s="172"/>
    </row>
    <row r="33" spans="1:6">
      <c r="A33" s="169" t="s">
        <v>73</v>
      </c>
      <c r="B33" s="33">
        <f>IF((B22*($B$26-($B$27-0.05*$B$27)-$B$60))&lt;0,0,B22*($B$26-($B$27-0.05*$B$27)-$B$60))</f>
        <v>1277.9184873979375</v>
      </c>
      <c r="C33" s="34" t="s">
        <v>110</v>
      </c>
      <c r="D33" s="172"/>
    </row>
    <row r="34" spans="1:6">
      <c r="A34" s="169" t="s">
        <v>74</v>
      </c>
      <c r="B34" s="33">
        <f>IF((B24*($B$26-($B$27-0.05*$B$27)-$B$60))&lt;0,0,B24*($B$26-($B$27-0.05*$B$27)-$B$60))</f>
        <v>254.83045183751256</v>
      </c>
      <c r="C34" s="33">
        <f>B26*C24</f>
        <v>3355.4776577192874</v>
      </c>
      <c r="D34" s="231"/>
    </row>
    <row r="35" spans="1:6">
      <c r="A35" s="169" t="s">
        <v>76</v>
      </c>
      <c r="B35" s="33">
        <f>IF((B19*($B$26-($B$27-0.05*$B$27)-$B$60))&lt;0,0,B19*($B$26-($B$27-0.05*$B$27)-$B$60))</f>
        <v>132.70575320118624</v>
      </c>
      <c r="C35" s="33">
        <f>B35/2</f>
        <v>66.35287660059312</v>
      </c>
      <c r="D35" s="231"/>
    </row>
    <row r="36" spans="1:6">
      <c r="A36" s="169" t="s">
        <v>77</v>
      </c>
      <c r="B36" s="33">
        <f>IF((B18*($B$26-($B$27-0.05*$B$27)-$B$60))&lt;0,0,B18*($B$26-($B$27-0.05*$B$27)-$B$60))</f>
        <v>4579.3561744877643</v>
      </c>
      <c r="C36" s="34" t="s">
        <v>110</v>
      </c>
      <c r="D36" s="172"/>
    </row>
    <row r="37" spans="1:6">
      <c r="A37" s="169" t="s">
        <v>78</v>
      </c>
      <c r="B37" s="33">
        <f>B60</f>
        <v>24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106</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46032.515534284874</v>
      </c>
      <c r="C5" s="17">
        <f>IF(ISERROR('Eigen informatie GS &amp; warmtenet'!B58),0,'Eigen informatie GS &amp; warmtenet'!B58)</f>
        <v>0</v>
      </c>
      <c r="D5" s="30">
        <f>SUM(D6:D12)</f>
        <v>56102.665384378175</v>
      </c>
      <c r="E5" s="17">
        <f>SUM(E6:E12)</f>
        <v>1040.7473331423316</v>
      </c>
      <c r="F5" s="17">
        <f>SUM(F6:F12)</f>
        <v>8589.4814212354813</v>
      </c>
      <c r="G5" s="18"/>
      <c r="H5" s="17"/>
      <c r="I5" s="17"/>
      <c r="J5" s="17">
        <f>SUM(J6:J12)</f>
        <v>0</v>
      </c>
      <c r="K5" s="17"/>
      <c r="L5" s="17"/>
      <c r="M5" s="17"/>
      <c r="N5" s="17">
        <f>SUM(N6:N12)</f>
        <v>1335.1958578839406</v>
      </c>
      <c r="O5" s="17">
        <f>B38*B39*B40</f>
        <v>0</v>
      </c>
      <c r="P5" s="17">
        <f>B46*B47*B48/1000-B46*B47*B48/1000/B49</f>
        <v>57.2</v>
      </c>
      <c r="R5" s="32"/>
    </row>
    <row r="6" spans="1:18">
      <c r="A6" s="32" t="s">
        <v>53</v>
      </c>
      <c r="B6" s="37">
        <f>B26</f>
        <v>11279.630733809801</v>
      </c>
      <c r="C6" s="33"/>
      <c r="D6" s="37">
        <f>IF(ISERROR(TER_kantoor_gas_kWh/1000),0,TER_kantoor_gas_kWh/1000)*0.902</f>
        <v>18572.449400084013</v>
      </c>
      <c r="E6" s="33">
        <f>$C$26*'E Balans VL '!I12/100/3.6*1000000</f>
        <v>394.83144689278902</v>
      </c>
      <c r="F6" s="33">
        <f>$C$26*('E Balans VL '!L12+'E Balans VL '!N12)/100/3.6*1000000</f>
        <v>1710.2341905443598</v>
      </c>
      <c r="G6" s="34"/>
      <c r="H6" s="33"/>
      <c r="I6" s="33"/>
      <c r="J6" s="33">
        <f>$C$26*('E Balans VL '!D12+'E Balans VL '!E12)/100/3.6*1000000</f>
        <v>0</v>
      </c>
      <c r="K6" s="33"/>
      <c r="L6" s="33"/>
      <c r="M6" s="33"/>
      <c r="N6" s="33">
        <f>$C$26*'E Balans VL '!Y12/100/3.6*1000000</f>
        <v>87.188015145091811</v>
      </c>
      <c r="O6" s="33"/>
      <c r="P6" s="33"/>
      <c r="R6" s="32"/>
    </row>
    <row r="7" spans="1:18">
      <c r="A7" s="32" t="s">
        <v>52</v>
      </c>
      <c r="B7" s="37">
        <f t="shared" ref="B7:B12" si="0">B27</f>
        <v>6472.1473691111405</v>
      </c>
      <c r="C7" s="33"/>
      <c r="D7" s="37">
        <f>IF(ISERROR(TER_horeca_gas_kWh/1000),0,TER_horeca_gas_kWh/1000)*0.902</f>
        <v>4162.6455530942503</v>
      </c>
      <c r="E7" s="33">
        <f>$C$27*'E Balans VL '!I9/100/3.6*1000000</f>
        <v>365.11517021905695</v>
      </c>
      <c r="F7" s="33">
        <f>$C$27*('E Balans VL '!L9+'E Balans VL '!N9)/100/3.6*1000000</f>
        <v>1127.4838890225742</v>
      </c>
      <c r="G7" s="34"/>
      <c r="H7" s="33"/>
      <c r="I7" s="33"/>
      <c r="J7" s="33">
        <f>$C$27*('E Balans VL '!D9+'E Balans VL '!E9)/100/3.6*1000000</f>
        <v>0</v>
      </c>
      <c r="K7" s="33"/>
      <c r="L7" s="33"/>
      <c r="M7" s="33"/>
      <c r="N7" s="33">
        <f>$C$27*'E Balans VL '!Y9/100/3.6*1000000</f>
        <v>0</v>
      </c>
      <c r="O7" s="33"/>
      <c r="P7" s="33"/>
      <c r="R7" s="32"/>
    </row>
    <row r="8" spans="1:18">
      <c r="A8" s="6" t="s">
        <v>51</v>
      </c>
      <c r="B8" s="37">
        <f t="shared" si="0"/>
        <v>12832.099220824801</v>
      </c>
      <c r="C8" s="33"/>
      <c r="D8" s="37">
        <f>IF(ISERROR(TER_handel_gas_kWh/1000),0,TER_handel_gas_kWh/1000)*0.902</f>
        <v>7731.2211468347314</v>
      </c>
      <c r="E8" s="33">
        <f>$C$28*'E Balans VL '!I13/100/3.6*1000000</f>
        <v>65.878693677342042</v>
      </c>
      <c r="F8" s="33">
        <f>$C$28*('E Balans VL '!L13+'E Balans VL '!N13)/100/3.6*1000000</f>
        <v>1978.5114235642732</v>
      </c>
      <c r="G8" s="34"/>
      <c r="H8" s="33"/>
      <c r="I8" s="33"/>
      <c r="J8" s="33">
        <f>$C$28*('E Balans VL '!D13+'E Balans VL '!E13)/100/3.6*1000000</f>
        <v>0</v>
      </c>
      <c r="K8" s="33"/>
      <c r="L8" s="33"/>
      <c r="M8" s="33"/>
      <c r="N8" s="33">
        <f>$C$28*'E Balans VL '!Y13/100/3.6*1000000</f>
        <v>6.0017294424346579</v>
      </c>
      <c r="O8" s="33"/>
      <c r="P8" s="33"/>
      <c r="R8" s="32"/>
    </row>
    <row r="9" spans="1:18">
      <c r="A9" s="32" t="s">
        <v>50</v>
      </c>
      <c r="B9" s="37">
        <f t="shared" si="0"/>
        <v>1788.89734068645</v>
      </c>
      <c r="C9" s="33"/>
      <c r="D9" s="37">
        <f>IF(ISERROR(TER_gezond_gas_kWh/1000),0,TER_gezond_gas_kWh/1000)*0.902</f>
        <v>1614.2683826249315</v>
      </c>
      <c r="E9" s="33">
        <f>$C$29*'E Balans VL '!I10/100/3.6*1000000</f>
        <v>0.74148520764427461</v>
      </c>
      <c r="F9" s="33">
        <f>$C$29*('E Balans VL '!L10+'E Balans VL '!N10)/100/3.6*1000000</f>
        <v>440.57975880086059</v>
      </c>
      <c r="G9" s="34"/>
      <c r="H9" s="33"/>
      <c r="I9" s="33"/>
      <c r="J9" s="33">
        <f>$C$29*('E Balans VL '!D10+'E Balans VL '!E10)/100/3.6*1000000</f>
        <v>0</v>
      </c>
      <c r="K9" s="33"/>
      <c r="L9" s="33"/>
      <c r="M9" s="33"/>
      <c r="N9" s="33">
        <f>$C$29*'E Balans VL '!Y10/100/3.6*1000000</f>
        <v>15.460500768272109</v>
      </c>
      <c r="O9" s="33"/>
      <c r="P9" s="33"/>
      <c r="R9" s="32"/>
    </row>
    <row r="10" spans="1:18">
      <c r="A10" s="32" t="s">
        <v>49</v>
      </c>
      <c r="B10" s="37">
        <f t="shared" si="0"/>
        <v>4235.34488012358</v>
      </c>
      <c r="C10" s="33"/>
      <c r="D10" s="37">
        <f>IF(ISERROR(TER_ander_gas_kWh/1000),0,TER_ander_gas_kWh/1000)*0.902</f>
        <v>5918.0976074551754</v>
      </c>
      <c r="E10" s="33">
        <f>$C$30*'E Balans VL '!I14/100/3.6*1000000</f>
        <v>25.818766886616174</v>
      </c>
      <c r="F10" s="33">
        <f>$C$30*('E Balans VL '!L14+'E Balans VL '!N14)/100/3.6*1000000</f>
        <v>1122.8479453643915</v>
      </c>
      <c r="G10" s="34"/>
      <c r="H10" s="33"/>
      <c r="I10" s="33"/>
      <c r="J10" s="33">
        <f>$C$30*('E Balans VL '!D14+'E Balans VL '!E14)/100/3.6*1000000</f>
        <v>0</v>
      </c>
      <c r="K10" s="33"/>
      <c r="L10" s="33"/>
      <c r="M10" s="33"/>
      <c r="N10" s="33">
        <f>$C$30*'E Balans VL '!Y14/100/3.6*1000000</f>
        <v>976.15547580181521</v>
      </c>
      <c r="O10" s="33"/>
      <c r="P10" s="33"/>
      <c r="R10" s="32"/>
    </row>
    <row r="11" spans="1:18">
      <c r="A11" s="32" t="s">
        <v>54</v>
      </c>
      <c r="B11" s="37">
        <f t="shared" si="0"/>
        <v>665.39789033115403</v>
      </c>
      <c r="C11" s="33"/>
      <c r="D11" s="37">
        <f>IF(ISERROR(TER_onderwijs_gas_kWh/1000),0,TER_onderwijs_gas_kWh/1000)*0.902</f>
        <v>1997.7653488635801</v>
      </c>
      <c r="E11" s="33">
        <f>$C$31*'E Balans VL '!I11/100/3.6*1000000</f>
        <v>0.50706784006651828</v>
      </c>
      <c r="F11" s="33">
        <f>$C$31*('E Balans VL '!L11+'E Balans VL '!N11)/100/3.6*1000000</f>
        <v>481.51837876525605</v>
      </c>
      <c r="G11" s="34"/>
      <c r="H11" s="33"/>
      <c r="I11" s="33"/>
      <c r="J11" s="33">
        <f>$C$31*('E Balans VL '!D11+'E Balans VL '!E11)/100/3.6*1000000</f>
        <v>0</v>
      </c>
      <c r="K11" s="33"/>
      <c r="L11" s="33"/>
      <c r="M11" s="33"/>
      <c r="N11" s="33">
        <f>$C$31*'E Balans VL '!Y11/100/3.6*1000000</f>
        <v>1.9610866100039122</v>
      </c>
      <c r="O11" s="33"/>
      <c r="P11" s="33"/>
      <c r="R11" s="32"/>
    </row>
    <row r="12" spans="1:18">
      <c r="A12" s="32" t="s">
        <v>255</v>
      </c>
      <c r="B12" s="37">
        <f t="shared" si="0"/>
        <v>8758.9980993979498</v>
      </c>
      <c r="C12" s="33"/>
      <c r="D12" s="37">
        <f>IF(ISERROR(TER_rest_gas_kWh/1000),0,TER_rest_gas_kWh/1000)*0.902</f>
        <v>16106.217945421502</v>
      </c>
      <c r="E12" s="33">
        <f>$C$32*'E Balans VL '!I8/100/3.6*1000000</f>
        <v>187.85470241881652</v>
      </c>
      <c r="F12" s="33">
        <f>$C$32*('E Balans VL '!L8+'E Balans VL '!N8)/100/3.6*1000000</f>
        <v>1728.3058351737664</v>
      </c>
      <c r="G12" s="34"/>
      <c r="H12" s="33"/>
      <c r="I12" s="33"/>
      <c r="J12" s="33">
        <f>$C$32*('E Balans VL '!D8+'E Balans VL '!E8)/100/3.6*1000000</f>
        <v>0</v>
      </c>
      <c r="K12" s="33"/>
      <c r="L12" s="33"/>
      <c r="M12" s="33"/>
      <c r="N12" s="33">
        <f>$C$32*'E Balans VL '!Y8/100/3.6*1000000</f>
        <v>248.42905011632291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46032.515534284874</v>
      </c>
      <c r="C16" s="21">
        <f ca="1">C5+C13+C14</f>
        <v>0</v>
      </c>
      <c r="D16" s="21">
        <f t="shared" ref="D16:N16" ca="1" si="1">MAX((D5+D13+D14),0)</f>
        <v>56102.665384378175</v>
      </c>
      <c r="E16" s="21">
        <f t="shared" si="1"/>
        <v>1040.7473331423316</v>
      </c>
      <c r="F16" s="21">
        <f t="shared" ca="1" si="1"/>
        <v>8589.4814212354813</v>
      </c>
      <c r="G16" s="21">
        <f t="shared" si="1"/>
        <v>0</v>
      </c>
      <c r="H16" s="21">
        <f t="shared" si="1"/>
        <v>0</v>
      </c>
      <c r="I16" s="21">
        <f t="shared" si="1"/>
        <v>0</v>
      </c>
      <c r="J16" s="21">
        <f t="shared" si="1"/>
        <v>0</v>
      </c>
      <c r="K16" s="21">
        <f t="shared" si="1"/>
        <v>0</v>
      </c>
      <c r="L16" s="21">
        <f t="shared" ca="1" si="1"/>
        <v>0</v>
      </c>
      <c r="M16" s="21">
        <f t="shared" si="1"/>
        <v>0</v>
      </c>
      <c r="N16" s="21">
        <f t="shared" ca="1" si="1"/>
        <v>1335.1958578839406</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0.21744390269420408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10009.489828606478</v>
      </c>
      <c r="C20" s="23">
        <f t="shared" ref="C20:P20" ca="1" si="2">C16*C18</f>
        <v>0</v>
      </c>
      <c r="D20" s="23">
        <f t="shared" ca="1" si="2"/>
        <v>11332.738407644392</v>
      </c>
      <c r="E20" s="23">
        <f t="shared" si="2"/>
        <v>236.24964462330928</v>
      </c>
      <c r="F20" s="23">
        <f t="shared" ca="1" si="2"/>
        <v>2293.3915394698738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11279.630733809801</v>
      </c>
      <c r="C26" s="39">
        <f>IF(ISERROR(B26*3.6/1000000/'E Balans VL '!Z12*100),0,B26*3.6/1000000/'E Balans VL '!Z12*100)</f>
        <v>0.23736112293349051</v>
      </c>
      <c r="D26" s="234" t="s">
        <v>706</v>
      </c>
      <c r="F26" s="6"/>
    </row>
    <row r="27" spans="1:18">
      <c r="A27" s="229" t="s">
        <v>52</v>
      </c>
      <c r="B27" s="33">
        <f>IF(ISERROR(TER_horeca_ele_kWh/1000),0,TER_horeca_ele_kWh/1000)</f>
        <v>6472.1473691111405</v>
      </c>
      <c r="C27" s="39">
        <f>IF(ISERROR(B27*3.6/1000000/'E Balans VL '!Z9*100),0,B27*3.6/1000000/'E Balans VL '!Z9*100)</f>
        <v>0.54797853117695217</v>
      </c>
      <c r="D27" s="234" t="s">
        <v>706</v>
      </c>
      <c r="F27" s="6"/>
    </row>
    <row r="28" spans="1:18">
      <c r="A28" s="169" t="s">
        <v>51</v>
      </c>
      <c r="B28" s="33">
        <f>IF(ISERROR(TER_handel_ele_kWh/1000),0,TER_handel_ele_kWh/1000)</f>
        <v>12832.099220824801</v>
      </c>
      <c r="C28" s="39">
        <f>IF(ISERROR(B28*3.6/1000000/'E Balans VL '!Z13*100),0,B28*3.6/1000000/'E Balans VL '!Z13*100)</f>
        <v>0.35525489251809989</v>
      </c>
      <c r="D28" s="234" t="s">
        <v>706</v>
      </c>
      <c r="F28" s="6"/>
    </row>
    <row r="29" spans="1:18">
      <c r="A29" s="229" t="s">
        <v>50</v>
      </c>
      <c r="B29" s="33">
        <f>IF(ISERROR(TER_gezond_ele_kWh/1000),0,TER_gezond_ele_kWh/1000)</f>
        <v>1788.89734068645</v>
      </c>
      <c r="C29" s="39">
        <f>IF(ISERROR(B29*3.6/1000000/'E Balans VL '!Z10*100),0,B29*3.6/1000000/'E Balans VL '!Z10*100)</f>
        <v>0.2325368220499818</v>
      </c>
      <c r="D29" s="234" t="s">
        <v>706</v>
      </c>
      <c r="F29" s="6"/>
    </row>
    <row r="30" spans="1:18">
      <c r="A30" s="229" t="s">
        <v>49</v>
      </c>
      <c r="B30" s="33">
        <f>IF(ISERROR(TER_ander_ele_kWh/1000),0,TER_ander_ele_kWh/1000)</f>
        <v>4235.34488012358</v>
      </c>
      <c r="C30" s="39">
        <f>IF(ISERROR(B30*3.6/1000000/'E Balans VL '!Z14*100),0,B30*3.6/1000000/'E Balans VL '!Z14*100)</f>
        <v>0.32827806928923786</v>
      </c>
      <c r="D30" s="234" t="s">
        <v>706</v>
      </c>
      <c r="F30" s="6"/>
    </row>
    <row r="31" spans="1:18">
      <c r="A31" s="229" t="s">
        <v>54</v>
      </c>
      <c r="B31" s="33">
        <f>IF(ISERROR(TER_onderwijs_ele_kWh/1000),0,TER_onderwijs_ele_kWh/1000)</f>
        <v>665.39789033115403</v>
      </c>
      <c r="C31" s="39">
        <f>IF(ISERROR(B31*3.6/1000000/'E Balans VL '!Z11*100),0,B31*3.6/1000000/'E Balans VL '!Z11*100)</f>
        <v>0.12730195456046167</v>
      </c>
      <c r="D31" s="234" t="s">
        <v>706</v>
      </c>
    </row>
    <row r="32" spans="1:18">
      <c r="A32" s="229" t="s">
        <v>255</v>
      </c>
      <c r="B32" s="33">
        <f>IF(ISERROR(TER_rest_ele_kWh/1000),0,TER_rest_ele_kWh/1000)</f>
        <v>8758.9980993979498</v>
      </c>
      <c r="C32" s="39">
        <f>IF(ISERROR(B32*3.6/1000000/'E Balans VL '!Z8*100),0,B32*3.6/1000000/'E Balans VL '!Z8*100)</f>
        <v>7.2224665500495056E-2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45739.955029455348</v>
      </c>
      <c r="C5" s="17">
        <f>IF(ISERROR('Eigen informatie GS &amp; warmtenet'!B59),0,'Eigen informatie GS &amp; warmtenet'!B59)</f>
        <v>0</v>
      </c>
      <c r="D5" s="30">
        <f>SUM(D6:D15)</f>
        <v>61745.151427236378</v>
      </c>
      <c r="E5" s="17">
        <f>SUM(E6:E15)</f>
        <v>435.98809743618642</v>
      </c>
      <c r="F5" s="17">
        <f>SUM(F6:F15)</f>
        <v>10748.93524841505</v>
      </c>
      <c r="G5" s="18"/>
      <c r="H5" s="17"/>
      <c r="I5" s="17"/>
      <c r="J5" s="17">
        <f>SUM(J6:J15)</f>
        <v>285.99615232945877</v>
      </c>
      <c r="K5" s="17"/>
      <c r="L5" s="17"/>
      <c r="M5" s="17"/>
      <c r="N5" s="17">
        <f>SUM(N6:N15)</f>
        <v>977.19150682571421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78.247097107278606</v>
      </c>
      <c r="C8" s="33"/>
      <c r="D8" s="37">
        <f>IF( ISERROR(IND_metaal_Gas_kWH/1000),0,IND_metaal_Gas_kWH/1000)*0.902</f>
        <v>49.205828354607959</v>
      </c>
      <c r="E8" s="33">
        <f>C30*'E Balans VL '!I18/100/3.6*1000000</f>
        <v>0.54982508693398957</v>
      </c>
      <c r="F8" s="33">
        <f>C30*'E Balans VL '!L18/100/3.6*1000000+C30*'E Balans VL '!N18/100/3.6*1000000</f>
        <v>8.5910734718014581</v>
      </c>
      <c r="G8" s="34"/>
      <c r="H8" s="33"/>
      <c r="I8" s="33"/>
      <c r="J8" s="40">
        <f>C30*'E Balans VL '!D18/100/3.6*1000000+C30*'E Balans VL '!E18/100/3.6*1000000</f>
        <v>1.6144062664724776</v>
      </c>
      <c r="K8" s="33"/>
      <c r="L8" s="33"/>
      <c r="M8" s="33"/>
      <c r="N8" s="33">
        <f>C30*'E Balans VL '!Y18/100/3.6*1000000</f>
        <v>0.29327575530796934</v>
      </c>
      <c r="O8" s="33"/>
      <c r="P8" s="33"/>
      <c r="R8" s="32"/>
    </row>
    <row r="9" spans="1:18">
      <c r="A9" s="6" t="s">
        <v>32</v>
      </c>
      <c r="B9" s="37">
        <f t="shared" si="0"/>
        <v>2865.0314512872396</v>
      </c>
      <c r="C9" s="33"/>
      <c r="D9" s="37">
        <f>IF( ISERROR(IND_andere_gas_kWh/1000),0,IND_andere_gas_kWh/1000)*0.902</f>
        <v>2102.5962150389341</v>
      </c>
      <c r="E9" s="33">
        <f>C31*'E Balans VL '!I19/100/3.6*1000000</f>
        <v>48.121712999957921</v>
      </c>
      <c r="F9" s="33">
        <f>C31*'E Balans VL '!L19/100/3.6*1000000+C31*'E Balans VL '!N19/100/3.6*1000000</f>
        <v>2239.7184086091538</v>
      </c>
      <c r="G9" s="34"/>
      <c r="H9" s="33"/>
      <c r="I9" s="33"/>
      <c r="J9" s="40">
        <f>C31*'E Balans VL '!D19/100/3.6*1000000+C31*'E Balans VL '!E19/100/3.6*1000000</f>
        <v>0.25840054617069858</v>
      </c>
      <c r="K9" s="33"/>
      <c r="L9" s="33"/>
      <c r="M9" s="33"/>
      <c r="N9" s="33">
        <f>C31*'E Balans VL '!Y19/100/3.6*1000000</f>
        <v>212.34479592335364</v>
      </c>
      <c r="O9" s="33"/>
      <c r="P9" s="33"/>
      <c r="R9" s="32"/>
    </row>
    <row r="10" spans="1:18">
      <c r="A10" s="6" t="s">
        <v>40</v>
      </c>
      <c r="B10" s="37">
        <f t="shared" si="0"/>
        <v>1433.85875284432</v>
      </c>
      <c r="C10" s="33"/>
      <c r="D10" s="37">
        <f>IF( ISERROR(IND_voed_gas_kWh/1000),0,IND_voed_gas_kWh/1000)*0.902</f>
        <v>786.90094024038081</v>
      </c>
      <c r="E10" s="33">
        <f>C32*'E Balans VL '!I20/100/3.6*1000000</f>
        <v>13.081931420975478</v>
      </c>
      <c r="F10" s="33">
        <f>C32*'E Balans VL '!L20/100/3.6*1000000+C32*'E Balans VL '!N20/100/3.6*1000000</f>
        <v>231.32626531095354</v>
      </c>
      <c r="G10" s="34"/>
      <c r="H10" s="33"/>
      <c r="I10" s="33"/>
      <c r="J10" s="40">
        <f>C32*'E Balans VL '!D20/100/3.6*1000000+C32*'E Balans VL '!E20/100/3.6*1000000</f>
        <v>5.905570427516083</v>
      </c>
      <c r="K10" s="33"/>
      <c r="L10" s="33"/>
      <c r="M10" s="33"/>
      <c r="N10" s="33">
        <f>C32*'E Balans VL '!Y20/100/3.6*1000000</f>
        <v>20.976222924753461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43.462096820508606</v>
      </c>
      <c r="C13" s="33"/>
      <c r="D13" s="37">
        <f>IF( ISERROR(IND_papier_gas_kWh/1000),0,IND_papier_gas_kWh/1000)*0.902</f>
        <v>0</v>
      </c>
      <c r="E13" s="33">
        <f>C35*'E Balans VL '!I23/100/3.6*1000000</f>
        <v>1.337215293196349</v>
      </c>
      <c r="F13" s="33">
        <f>C35*'E Balans VL '!L23/100/3.6*1000000+C35*'E Balans VL '!N23/100/3.6*1000000</f>
        <v>9.2285220655369908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41319.355631396</v>
      </c>
      <c r="C15" s="33"/>
      <c r="D15" s="37">
        <f>IF( ISERROR(IND_rest_gas_kWh/1000),0,IND_rest_gas_kWh/1000)*0.902</f>
        <v>58806.448443602458</v>
      </c>
      <c r="E15" s="33">
        <f>C37*'E Balans VL '!I15/100/3.6*1000000</f>
        <v>372.89741263512269</v>
      </c>
      <c r="F15" s="33">
        <f>C37*'E Balans VL '!L15/100/3.6*1000000+C37*'E Balans VL '!N15/100/3.6*1000000</f>
        <v>8260.0709789576031</v>
      </c>
      <c r="G15" s="34"/>
      <c r="H15" s="33"/>
      <c r="I15" s="33"/>
      <c r="J15" s="40">
        <f>C37*'E Balans VL '!D15/100/3.6*1000000+C37*'E Balans VL '!E15/100/3.6*1000000</f>
        <v>278.21777508929949</v>
      </c>
      <c r="K15" s="33"/>
      <c r="L15" s="33"/>
      <c r="M15" s="33"/>
      <c r="N15" s="33">
        <f>C37*'E Balans VL '!Y15/100/3.6*1000000</f>
        <v>743.57721222229918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45739.955029455348</v>
      </c>
      <c r="C18" s="21">
        <f>C5+C16</f>
        <v>0</v>
      </c>
      <c r="D18" s="21">
        <f>MAX((D5+D16),0)</f>
        <v>61745.151427236378</v>
      </c>
      <c r="E18" s="21">
        <f>MAX((E5+E16),0)</f>
        <v>435.98809743618642</v>
      </c>
      <c r="F18" s="21">
        <f>MAX((F5+F16),0)</f>
        <v>10748.93524841505</v>
      </c>
      <c r="G18" s="21"/>
      <c r="H18" s="21"/>
      <c r="I18" s="21"/>
      <c r="J18" s="21">
        <f>MAX((J5+J16),0)</f>
        <v>285.99615232945877</v>
      </c>
      <c r="K18" s="21"/>
      <c r="L18" s="21">
        <f>MAX((L5+L16),0)</f>
        <v>0</v>
      </c>
      <c r="M18" s="21"/>
      <c r="N18" s="21">
        <f>MAX((N5+N16),0)</f>
        <v>977.19150682571421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0.21744390269420408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9945.87433066216</v>
      </c>
      <c r="C22" s="23">
        <f ca="1">C18*C20</f>
        <v>0</v>
      </c>
      <c r="D22" s="23">
        <f>D18*D20</f>
        <v>12472.52058830175</v>
      </c>
      <c r="E22" s="23">
        <f>E18*E20</f>
        <v>98.969298118014322</v>
      </c>
      <c r="F22" s="23">
        <f>F18*F20</f>
        <v>2869.9657113268186</v>
      </c>
      <c r="G22" s="23"/>
      <c r="H22" s="23"/>
      <c r="I22" s="23"/>
      <c r="J22" s="23">
        <f>J18*J20</f>
        <v>101.2426379246284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78.247097107278606</v>
      </c>
      <c r="C30" s="39">
        <f>IF(ISERROR(B30*3.6/1000000/'E Balans VL '!Z18*100),0,B30*3.6/1000000/'E Balans VL '!Z18*100)</f>
        <v>5.2089570361130511E-3</v>
      </c>
      <c r="D30" s="234" t="s">
        <v>706</v>
      </c>
    </row>
    <row r="31" spans="1:18">
      <c r="A31" s="6" t="s">
        <v>32</v>
      </c>
      <c r="B31" s="37">
        <f>IF( ISERROR(IND_ander_ele_kWh/1000),0,IND_ander_ele_kWh/1000)</f>
        <v>2865.0314512872396</v>
      </c>
      <c r="C31" s="39">
        <f>IF(ISERROR(B31*3.6/1000000/'E Balans VL '!Z19*100),0,B31*3.6/1000000/'E Balans VL '!Z19*100)</f>
        <v>0.12699549026819318</v>
      </c>
      <c r="D31" s="234" t="s">
        <v>706</v>
      </c>
    </row>
    <row r="32" spans="1:18">
      <c r="A32" s="169" t="s">
        <v>40</v>
      </c>
      <c r="B32" s="37">
        <f>IF( ISERROR(IND_voed_ele_kWh/1000),0,IND_voed_ele_kWh/1000)</f>
        <v>1433.85875284432</v>
      </c>
      <c r="C32" s="39">
        <f>IF(ISERROR(B32*3.6/1000000/'E Balans VL '!Z20*100),0,B32*3.6/1000000/'E Balans VL '!Z20*100)</f>
        <v>4.7894995553408995E-2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43.462096820508606</v>
      </c>
      <c r="C35" s="39">
        <f>IF(ISERROR(B35*3.6/1000000/'E Balans VL '!Z22*100),0,B35*3.6/1000000/'E Balans VL '!Z22*100)</f>
        <v>8.4529004275926342E-3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41319.355631396</v>
      </c>
      <c r="C37" s="39">
        <f>IF(ISERROR(B37*3.6/1000000/'E Balans VL '!Z15*100),0,B37*3.6/1000000/'E Balans VL '!Z15*100)</f>
        <v>0.30734869090918948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876.0745901861111</v>
      </c>
      <c r="C5" s="17">
        <f>'Eigen informatie GS &amp; warmtenet'!B60</f>
        <v>0</v>
      </c>
      <c r="D5" s="30">
        <f>IF(ISERROR(SUM(LB_lb_gas_kWh,LB_rest_gas_kWh)/1000),0,SUM(LB_lb_gas_kWh,LB_rest_gas_kWh)/1000)*0.902</f>
        <v>591.28327516575496</v>
      </c>
      <c r="E5" s="17">
        <f>B17*'E Balans VL '!I25/3.6*1000000/100</f>
        <v>9.174442770843342</v>
      </c>
      <c r="F5" s="17">
        <f>B17*('E Balans VL '!L25/3.6*1000000+'E Balans VL '!N25/3.6*1000000)/100</f>
        <v>3750.2649213094369</v>
      </c>
      <c r="G5" s="18"/>
      <c r="H5" s="17"/>
      <c r="I5" s="17"/>
      <c r="J5" s="17">
        <f>('E Balans VL '!D25+'E Balans VL '!E25)/3.6*1000000*landbouw!B17/100</f>
        <v>78.241313294130663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876.0745901861111</v>
      </c>
      <c r="C8" s="21">
        <f>C5+C6</f>
        <v>0</v>
      </c>
      <c r="D8" s="21">
        <f>MAX((D5+D6),0)</f>
        <v>591.28327516575496</v>
      </c>
      <c r="E8" s="21">
        <f>MAX((E5+E6),0)</f>
        <v>9.174442770843342</v>
      </c>
      <c r="F8" s="21">
        <f>MAX((F5+F6),0)</f>
        <v>3750.2649213094369</v>
      </c>
      <c r="G8" s="21"/>
      <c r="H8" s="21"/>
      <c r="I8" s="21"/>
      <c r="J8" s="21">
        <f>MAX((J5+J6),0)</f>
        <v>78.241313294130663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0.21744390269420408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190.49707794129347</v>
      </c>
      <c r="C12" s="23">
        <f ca="1">C8*C10</f>
        <v>0</v>
      </c>
      <c r="D12" s="23">
        <f>D8*D10</f>
        <v>119.43922158348251</v>
      </c>
      <c r="E12" s="23">
        <f>E8*E10</f>
        <v>2.0825985089814387</v>
      </c>
      <c r="F12" s="23">
        <f>F8*F10</f>
        <v>1001.3207339896197</v>
      </c>
      <c r="G12" s="23"/>
      <c r="H12" s="23"/>
      <c r="I12" s="23"/>
      <c r="J12" s="23">
        <f>J8*J10</f>
        <v>27.697424906122254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0.13484479079442688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76.722857018692039</v>
      </c>
      <c r="C26" s="244">
        <f>B26*'GWP N2O_CH4'!B5</f>
        <v>1611.1799973925329</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5.1632854156890104</v>
      </c>
      <c r="C27" s="244">
        <f>B27*'GWP N2O_CH4'!B5</f>
        <v>108.42899372946923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1.3829716454676462</v>
      </c>
      <c r="C28" s="244">
        <f>B28*'GWP N2O_CH4'!B4</f>
        <v>428.72121009497033</v>
      </c>
      <c r="D28" s="50"/>
    </row>
    <row r="29" spans="1:4">
      <c r="A29" s="41" t="s">
        <v>272</v>
      </c>
      <c r="B29" s="244">
        <f>B34*'ha_N2O bodem landbouw'!B4</f>
        <v>11.102374959408101</v>
      </c>
      <c r="C29" s="244">
        <f>B29*'GWP N2O_CH4'!B4</f>
        <v>3441.7362374165114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1.8348132772679421E-3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2.7965963774587929E-5</v>
      </c>
      <c r="C5" s="435" t="s">
        <v>210</v>
      </c>
      <c r="D5" s="420">
        <f>SUM(D6:D11)</f>
        <v>9.5292032458578978E-5</v>
      </c>
      <c r="E5" s="420">
        <f>SUM(E6:E11)</f>
        <v>1.1060695011179943E-2</v>
      </c>
      <c r="F5" s="433" t="s">
        <v>210</v>
      </c>
      <c r="G5" s="420">
        <f>SUM(G6:G11)</f>
        <v>1.8438804890838876</v>
      </c>
      <c r="H5" s="420">
        <f>SUM(H6:H11)</f>
        <v>0.32412168616104708</v>
      </c>
      <c r="I5" s="435" t="s">
        <v>210</v>
      </c>
      <c r="J5" s="435" t="s">
        <v>210</v>
      </c>
      <c r="K5" s="435" t="s">
        <v>210</v>
      </c>
      <c r="L5" s="435" t="s">
        <v>210</v>
      </c>
      <c r="M5" s="420">
        <f>SUM(M6:M11)</f>
        <v>9.4350575021827782E-2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4.8699581144834985E-6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1.5419363521634109E-5</v>
      </c>
      <c r="E6" s="423">
        <f>vkm_GW_PW*SUMIFS(TableVerdeelsleutelVkm[LPG],TableVerdeelsleutelVkm[Voertuigtype],"Lichte voertuigen")*SUMIFS(TableECFTransport[EnergieConsumptieFactor (PJ per km)],TableECFTransport[Index],CONCATENATE($A6,"_LPG_LPG"))</f>
        <v>1.6068317600181129E-3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0.21403039100545576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5.1345428655493588E-2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1.1583430261733401E-2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6.9350890741420136E-8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3.126179779704949E-2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8.4641259140824055E-7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1.346771248934997E-3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4.8327109068774371E-6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2.6004588068276794E-5</v>
      </c>
      <c r="E8" s="423">
        <f>vkm_NGW_PW*SUMIFS(TableVerdeelsleutelVkm[LPG],TableVerdeelsleutelVkm[Voertuigtype],"Lichte voertuigen")*SUMIFS(TableECFTransport[EnergieConsumptieFactor (PJ per km)],TableECFTransport[Index],CONCATENATE($A8,"_LPG_LPG"))</f>
        <v>2.55738565518589E-3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0.32252708014727793</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8.1881281101257128E-2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1.7662793349079598E-2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3.8306714702051759E-8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2.3918604057355419E-2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5.6431478033270563E-7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1.0304195760355271E-3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1.7260209227657492E-5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5.3868080868668085E-5</v>
      </c>
      <c r="E10" s="423">
        <f>vkm_SW_PW*SUMIFS(TableVerdeelsleutelVkm[LPG],TableVerdeelsleutelVkm[Voertuigtype],"Lichte voertuigen")*SUMIFS(TableECFTransport[EnergieConsumptieFactor (PJ per km)],TableECFTransport[Index],CONCATENATE($A10,"_LPG_LPG"))</f>
        <v>6.8964775959759403E-3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0.86266515577719305</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0.19088231726678725</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4.5948277266723632E-2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8.9542792012602918E-7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0.38947746029955588</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1.1248410137361051E-5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1.6778883319320627E-2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7.7683232707188692</v>
      </c>
      <c r="C14" s="21"/>
      <c r="D14" s="21">
        <f t="shared" ref="D14:M14" si="0">((D5)*10^9/3600)+D12</f>
        <v>26.470009016271938</v>
      </c>
      <c r="E14" s="21">
        <f t="shared" si="0"/>
        <v>3072.4152808833173</v>
      </c>
      <c r="F14" s="21"/>
      <c r="G14" s="21">
        <f t="shared" si="0"/>
        <v>512189.02474552434</v>
      </c>
      <c r="H14" s="21">
        <f t="shared" si="0"/>
        <v>90033.801711401975</v>
      </c>
      <c r="I14" s="21"/>
      <c r="J14" s="21"/>
      <c r="K14" s="21"/>
      <c r="L14" s="21"/>
      <c r="M14" s="21">
        <f t="shared" si="0"/>
        <v>26208.493061618829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0.21744390269420408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1.6891745293753149</v>
      </c>
      <c r="C18" s="23"/>
      <c r="D18" s="23">
        <f t="shared" ref="D18:M18" si="1">D14*D16</f>
        <v>5.346941821286932</v>
      </c>
      <c r="E18" s="23">
        <f t="shared" si="1"/>
        <v>697.4382687605131</v>
      </c>
      <c r="F18" s="23"/>
      <c r="G18" s="23">
        <f t="shared" si="1"/>
        <v>136754.46960705501</v>
      </c>
      <c r="H18" s="23">
        <f t="shared" si="1"/>
        <v>22418.416626139093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1.3641549329316128E-4</v>
      </c>
      <c r="C50" s="315">
        <f t="shared" ref="C50:P50" si="2">SUM(C51:C52)</f>
        <v>0</v>
      </c>
      <c r="D50" s="315">
        <f t="shared" si="2"/>
        <v>0</v>
      </c>
      <c r="E50" s="315">
        <f t="shared" si="2"/>
        <v>0</v>
      </c>
      <c r="F50" s="315">
        <f t="shared" si="2"/>
        <v>0</v>
      </c>
      <c r="G50" s="315">
        <f t="shared" si="2"/>
        <v>2.9593971677721351E-2</v>
      </c>
      <c r="H50" s="315">
        <f t="shared" si="2"/>
        <v>0</v>
      </c>
      <c r="I50" s="315">
        <f t="shared" si="2"/>
        <v>0</v>
      </c>
      <c r="J50" s="315">
        <f t="shared" si="2"/>
        <v>0</v>
      </c>
      <c r="K50" s="315">
        <f t="shared" si="2"/>
        <v>0</v>
      </c>
      <c r="L50" s="315">
        <f t="shared" si="2"/>
        <v>0</v>
      </c>
      <c r="M50" s="315">
        <f t="shared" si="2"/>
        <v>1.2671001894250945E-3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1.3641549329316128E-4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2.9593971677721351E-2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1.2671001894250945E-3</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37.893192581433688</v>
      </c>
      <c r="C54" s="21">
        <f t="shared" ref="C54:P54" si="3">(C50)*10^9/3600</f>
        <v>0</v>
      </c>
      <c r="D54" s="21">
        <f t="shared" si="3"/>
        <v>0</v>
      </c>
      <c r="E54" s="21">
        <f t="shared" si="3"/>
        <v>0</v>
      </c>
      <c r="F54" s="21">
        <f t="shared" si="3"/>
        <v>0</v>
      </c>
      <c r="G54" s="21">
        <f t="shared" si="3"/>
        <v>8220.5476882559306</v>
      </c>
      <c r="H54" s="21">
        <f t="shared" si="3"/>
        <v>0</v>
      </c>
      <c r="I54" s="21">
        <f t="shared" si="3"/>
        <v>0</v>
      </c>
      <c r="J54" s="21">
        <f t="shared" si="3"/>
        <v>0</v>
      </c>
      <c r="K54" s="21">
        <f t="shared" si="3"/>
        <v>0</v>
      </c>
      <c r="L54" s="21">
        <f t="shared" si="3"/>
        <v>0</v>
      </c>
      <c r="M54" s="21">
        <f t="shared" si="3"/>
        <v>351.97227484030401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0.21744390269420408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8.2396436804500031</v>
      </c>
      <c r="C58" s="23">
        <f t="shared" ref="C58:P58" ca="1" si="4">C54*C56</f>
        <v>0</v>
      </c>
      <c r="D58" s="23">
        <f t="shared" si="4"/>
        <v>0</v>
      </c>
      <c r="E58" s="23">
        <f t="shared" si="4"/>
        <v>0</v>
      </c>
      <c r="F58" s="23">
        <f t="shared" si="4"/>
        <v>0</v>
      </c>
      <c r="G58" s="23">
        <f t="shared" si="4"/>
        <v>2194.8862327643337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2747.9621402699618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2747.9621402699618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2021-06-29T16:54:24Z</dcterms:modified>
</cp:coreProperties>
</file>