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<sst xmlns="http://schemas.openxmlformats.org/spreadsheetml/2006/main" count="2590" uniqueCount="990">
  <si>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</si>
  <si>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</si>
  <si>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</si>
  <si>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</si>
  <si>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</si>
  <si>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</si>
  <si>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</si>
  <si>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</si>
  <si>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</si>
  <si>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</si>
  <si>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</si>
  <si>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</si>
  <si>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</si>
  <si>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</si>
  <si>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</si>
  <si>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</si>
  <si>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</si>
  <si>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</si>
  <si>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</si>
  <si>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</si>
  <si>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</si>
  <si>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</si>
  <si>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</si>
  <si>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</si>
  <si>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</si>
  <si>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</si>
  <si>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</si>
  <si>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</si>
  <si>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</si>
  <si>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</si>
  <si>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</si>
  <si>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</si>
  <si>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</si>
  <si>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</si>
  <si>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</si>
  <si>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</si>
  <si>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</si>
  <si>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</si>
  <si>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</si>
  <si>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</si>
  <si>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</si>
  <si>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</si>
  <si>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</si>
  <si>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</si>
  <si>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</si>
  <si>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</si>
  <si>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</si>
  <si>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</si>
  <si>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</si>
  <si>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</si>
  <si>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</si>
  <si>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</si>
  <si>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</si>
  <si>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</si>
  <si>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</si>
  <si>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</si>
  <si>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</si>
  <si>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</si>
  <si>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</si>
  <si>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</si>
  <si>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</si>
  <si>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</si>
  <si>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</si>
  <si>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</si>
  <si>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</si>
  <si>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</si>
  <si>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</si>
  <si>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</si>
  <si>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</si>
  <si>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</si>
  <si>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</si>
  <si>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</si>
  <si>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</si>
  <si>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</si>
  <si>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</si>
  <si>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</si>
  <si>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</si>
  <si>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</si>
  <si>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</si>
  <si>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</si>
  <si>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</si>
  <si>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</si>
  <si>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</si>
  <si>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</si>
  <si>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</si>
  <si>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</si>
  <si>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</si>
  <si>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</si>
  <si>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</si>
  <si>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</si>
  <si>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</si>
  <si>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</si>
  <si>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</si>
  <si>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</si>
  <si>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</si>
  <si>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</si>
  <si>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</si>
  <si>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</si>
  <si>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</si>
  <si>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</si>
  <si>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</si>
  <si>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</si>
  <si>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</si>
  <si>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</si>
  <si>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</si>
  <si>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</si>
  <si>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</si>
  <si>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</si>
  <si>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</si>
  <si>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</si>
  <si>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</si>
  <si>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</si>
  <si>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</si>
  <si>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</si>
  <si>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</si>
  <si>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</si>
  <si>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</si>
  <si>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</si>
  <si>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</si>
  <si>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</si>
  <si>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</si>
  <si>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</si>
  <si>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</si>
  <si>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</si>
  <si>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</si>
  <si>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</si>
  <si>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</si>
  <si>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</si>
  <si>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</si>
  <si>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</si>
  <si>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</si>
  <si>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</si>
  <si>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</si>
  <si>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</si>
  <si>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</si>
  <si>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</si>
  <si>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</si>
  <si>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</si>
  <si>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</si>
  <si>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</si>
  <si>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</si>
  <si>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</si>
  <si>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</si>
  <si>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</si>
  <si>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</si>
  <si>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</si>
  <si>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</si>
  <si>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</si>
  <si>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</si>
  <si>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</si>
  <si>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</si>
  <si>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</si>
  <si>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</si>
  <si>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</si>
  <si>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</si>
  <si>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</si>
  <si>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</si>
  <si>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</si>
  <si>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</si>
  <si>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</si>
  <si>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</si>
  <si>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</si>
  <si>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</si>
  <si>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</si>
  <si>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</si>
  <si>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</si>
  <si>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</si>
  <si>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</si>
  <si>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</si>
  <si>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</si>
  <si>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</si>
  <si>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</si>
  <si>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</si>
  <si>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</si>
  <si>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</si>
  <si>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</si>
  <si>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</si>
  <si>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</si>
  <si>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</si>
  <si>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</si>
  <si>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</si>
  <si>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</si>
  <si>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</si>
  <si>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</si>
  <si>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</si>
  <si>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</si>
  <si>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</si>
  <si>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</si>
  <si>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</si>
  <si>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</si>
  <si>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</si>
  <si>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</si>
  <si>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</si>
  <si>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</si>
  <si>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</si>
  <si>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</si>
  <si>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</si>
  <si>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</si>
  <si>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</si>
  <si>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</si>
  <si>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</si>
  <si>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</si>
  <si>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</si>
  <si>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</si>
  <si>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</si>
  <si>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</si>
  <si>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</si>
  <si>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</si>
  <si>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</si>
  <si>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</si>
  <si>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</si>
  <si>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</si>
  <si>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</si>
  <si>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</si>
  <si>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</si>
  <si>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</si>
  <si>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</si>
  <si>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</si>
  <si>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</si>
  <si>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</si>
  <si>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</si>
  <si>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</si>
  <si>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</si>
  <si>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</si>
  <si>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</si>
  <si>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</si>
  <si>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</si>
  <si>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</si>
  <si>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</si>
  <si>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</si>
  <si>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</si>
  <si>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</si>
  <si>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</si>
  <si>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</si>
  <si>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</si>
  <si>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</si>
  <si>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</si>
  <si>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</si>
  <si>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</si>
  <si>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</si>
  <si>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</si>
  <si>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</si>
  <si>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</si>
  <si>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</si>
  <si>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</si>
  <si>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</si>
  <si>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</si>
  <si>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</si>
  <si>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</si>
  <si>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</si>
  <si>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</si>
  <si>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</si>
  <si>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</si>
  <si>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</si>
  <si>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</si>
  <si>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</si>
  <si>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</si>
  <si>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</si>
  <si>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</si>
  <si>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</si>
  <si>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</si>
  <si>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</si>
  <si>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</si>
  <si>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</si>
  <si>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</si>
  <si>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</si>
  <si>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</si>
  <si>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</si>
  <si>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</si>
  <si>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</si>
  <si>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</si>
  <si>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</si>
  <si>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</si>
  <si>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</si>
  <si>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</si>
  <si>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</si>
  <si>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</si>
  <si>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</si>
  <si>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</si>
  <si>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</si>
  <si>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</si>
  <si>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</si>
  <si>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</si>
  <si>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</si>
  <si>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</si>
  <si>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</si>
  <si>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</si>
  <si>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</si>
  <si>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</si>
  <si>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</si>
  <si>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</si>
  <si>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</si>
  <si>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</si>
  <si>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</si>
  <si>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</si>
  <si>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</si>
  <si>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</si>
  <si>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</si>
  <si>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</si>
  <si>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</si>
  <si>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</si>
  <si>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</si>
  <si>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</si>
  <si>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</si>
  <si>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</si>
  <si>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</si>
  <si>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</si>
  <si>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</si>
  <si>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</si>
  <si>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</si>
  <si>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</si>
  <si>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</si>
  <si>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</si>
  <si>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</si>
  <si>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</si>
  <si>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</si>
  <si>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</si>
  <si>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</si>
  <si>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</si>
  <si>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</si>
  <si>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</si>
  <si>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</si>
  <si>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</si>
  <si>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</si>
  <si>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</si>
  <si>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</si>
  <si>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</si>
  <si>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</si>
  <si>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</si>
  <si>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</si>
  <si>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</si>
  <si>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</si>
  <si>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</si>
  <si>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</si>
  <si>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</si>
  <si>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</si>
  <si>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</si>
  <si>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</si>
  <si>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</si>
  <si>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</si>
  <si>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</si>
  <si>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</si>
  <si>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</si>
  <si>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</si>
  <si>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</si>
  <si>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</si>
  <si>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</si>
  <si>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</si>
  <si>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</si>
  <si>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</si>
  <si>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</si>
  <si>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</si>
  <si>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</si>
  <si>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</si>
  <si>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</si>
  <si>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</si>
  <si>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</si>
  <si>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</si>
  <si>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</si>
  <si>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</si>
  <si>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</si>
  <si>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</si>
  <si>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</si>
  <si>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</si>
  <si>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</si>
  <si>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</si>
  <si>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</si>
  <si>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</si>
  <si>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</si>
  <si>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</si>
  <si>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</si>
  <si>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</si>
  <si>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</si>
  <si>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</si>
  <si>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</si>
  <si>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</si>
  <si>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</si>
  <si>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</si>
  <si>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</si>
  <si>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</si>
  <si>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</si>
  <si>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</si>
  <si>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</si>
  <si>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</si>
  <si>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</si>
  <si>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</si>
  <si>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</si>
  <si>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</si>
  <si>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</si>
  <si>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</si>
  <si>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</si>
  <si>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</si>
  <si>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</si>
  <si>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</si>
  <si>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</si>
  <si>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</si>
  <si>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</si>
  <si>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</si>
  <si>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</si>
  <si>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</si>
  <si>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</si>
  <si>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</si>
  <si>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</si>
  <si>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</si>
  <si>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</si>
  <si>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</si>
  <si>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</si>
  <si>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</si>
  <si>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</si>
  <si>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</si>
  <si>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</si>
  <si>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</si>
  <si>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</si>
  <si>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</si>
  <si>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</si>
  <si>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</si>
  <si>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</si>
  <si>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</si>
  <si>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</si>
  <si>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</si>
  <si>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</si>
  <si>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</si>
  <si>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</si>
  <si>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</si>
  <si>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</si>
  <si>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</si>
  <si>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</si>
  <si>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</si>
  <si>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</si>
  <si>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</si>
  <si>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</si>
  <si>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</si>
  <si>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</si>
  <si>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</si>
  <si>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</si>
  <si>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</si>
  <si>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</si>
  <si>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</si>
  <si>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</si>
  <si>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</si>
  <si>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</si>
  <si>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</si>
  <si>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</si>
  <si>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</si>
  <si>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</si>
  <si>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</si>
  <si>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</si>
  <si>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</si>
  <si>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</si>
  <si>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</si>
  <si>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</si>
  <si>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</si>
  <si>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</si>
  <si>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</si>
  <si>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</si>
  <si>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</si>
  <si>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</si>
  <si>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</si>
  <si>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</si>
  <si>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</si>
  <si>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</si>
  <si>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</si>
  <si>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</si>
  <si>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</si>
  <si>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</si>
  <si>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</si>
  <si>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</si>
  <si>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</si>
  <si>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</si>
  <si>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</si>
  <si>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</si>
  <si>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</si>
  <si>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</si>
  <si>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</si>
  <si>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</si>
  <si>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</si>
  <si>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</si>
  <si>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</si>
  <si>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</si>
  <si>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</si>
  <si>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</si>
  <si>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</si>
  <si>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</si>
  <si>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</si>
  <si>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</si>
  <si>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</si>
  <si>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</si>
  <si>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</si>
  <si>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</si>
  <si>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</si>
  <si>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</si>
  <si>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</si>
  <si>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</si>
  <si>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</si>
  <si>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</si>
  <si>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</si>
  <si>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</si>
  <si>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</si>
  <si>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</si>
  <si>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</si>
  <si>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</si>
  <si>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</si>
  <si>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</si>
  <si>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</si>
  <si>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</si>
  <si>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</si>
  <si>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</si>
  <si>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</si>
  <si>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</si>
  <si>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</si>
  <si>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</si>
  <si>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</si>
  <si>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</si>
  <si>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</si>
  <si>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</si>
  <si>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</si>
  <si>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</si>
  <si>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</si>
  <si>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</si>
  <si>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</si>
  <si>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</si>
  <si>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</si>
  <si>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</si>
  <si>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</si>
  <si>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</si>
  <si>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</si>
  <si>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</si>
  <si>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</si>
  <si>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</si>
  <si>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</si>
  <si>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</si>
  <si>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</si>
  <si>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</si>
  <si>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</si>
  <si>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</si>
  <si>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</si>
  <si>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</si>
  <si>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</si>
  <si>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</si>
  <si>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</si>
  <si>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</si>
  <si>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</si>
  <si>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</si>
  <si>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</si>
  <si>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</si>
  <si>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</si>
  <si>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</si>
  <si>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</si>
  <si>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</si>
  <si>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</si>
  <si>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</si>
  <si>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</si>
  <si>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</si>
  <si>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</si>
  <si>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</si>
  <si>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</si>
  <si>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</si>
  <si>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</si>
  <si>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</si>
  <si>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</si>
  <si>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</si>
  <si>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</si>
  <si>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</si>
  <si>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</si>
  <si>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</si>
  <si>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</si>
  <si>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</si>
  <si>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</si>
  <si>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</si>
  <si>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</si>
  <si>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</si>
  <si>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</si>
  <si>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</si>
  <si>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</si>
  <si>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</si>
  <si>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</si>
  <si>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</si>
  <si>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</si>
  <si>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</si>
  <si>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</si>
  <si>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</si>
  <si>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</si>
  <si>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</si>
  <si>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</si>
  <si>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</si>
  <si>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</si>
  <si>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</si>
  <si>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</si>
  <si>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</si>
  <si>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</si>
  <si>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</si>
  <si>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</si>
  <si>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</si>
  <si>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</si>
  <si>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</si>
  <si>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</si>
  <si>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</si>
  <si>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</si>
  <si>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</si>
  <si>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</si>
  <si>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</si>
  <si>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</si>
  <si>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</si>
  <si>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</si>
  <si>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</si>
  <si>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</si>
  <si>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</si>
  <si>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</si>
  <si>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</si>
  <si>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</si>
  <si>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</si>
  <si>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</si>
  <si>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</si>
  <si>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</si>
  <si>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</si>
  <si>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</si>
  <si>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</si>
  <si>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</si>
  <si>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</si>
  <si>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</si>
  <si>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</si>
  <si>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</si>
  <si>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</si>
  <si>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</si>
  <si>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</si>
  <si>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</si>
  <si>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</si>
  <si>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</si>
  <si>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</si>
  <si>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</si>
  <si>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</si>
  <si>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</si>
  <si>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</si>
  <si>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</si>
  <si>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</si>
  <si>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</si>
  <si>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</si>
  <si>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</si>
  <si>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</si>
  <si>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</si>
  <si>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</si>
  <si>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</si>
  <si>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</si>
  <si>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</si>
  <si>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</si>
  <si>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</si>
  <si>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</si>
  <si>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</si>
  <si>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</si>
  <si>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</si>
  <si>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</si>
  <si>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</si>
  <si>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</si>
  <si>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</si>
  <si>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</si>
  <si>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</si>
  <si>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</si>
  <si>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</si>
  <si>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</si>
  <si>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</si>
  <si>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</si>
  <si>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</si>
  <si>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</si>
  <si>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</si>
  <si>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</si>
  <si>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</si>
  <si>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</si>
  <si>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</si>
  <si>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</si>
  <si>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</si>
  <si>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</si>
  <si>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</si>
  <si>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</si>
  <si>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</si>
  <si>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</si>
  <si>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</si>
  <si>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</si>
  <si>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</si>
  <si>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</si>
  <si>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</si>
  <si>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</si>
  <si>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</si>
  <si>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</si>
  <si>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</si>
  <si>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</si>
  <si>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</si>
  <si>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</si>
  <si>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</si>
  <si>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</si>
  <si>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</si>
  <si>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</si>
  <si>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</si>
  <si>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</si>
  <si>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</si>
  <si>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</si>
  <si>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</si>
  <si>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</si>
  <si>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</si>
  <si>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</si>
  <si>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</si>
  <si>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</si>
  <si>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</si>
  <si>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</si>
  <si>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</si>
  <si>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</si>
  <si>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</si>
  <si>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</si>
  <si>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</si>
  <si>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</si>
  <si>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</si>
  <si>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</si>
  <si>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</si>
  <si>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</si>
  <si>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</si>
  <si>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</si>
  <si>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</si>
  <si>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</si>
  <si>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</si>
  <si>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</si>
  <si>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</si>
  <si>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</si>
  <si>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</si>
  <si>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</si>
  <si>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</si>
  <si>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</si>
  <si>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</si>
  <si>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</si>
  <si>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</si>
  <si>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</si>
  <si>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</si>
  <si>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</si>
  <si>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</si>
  <si>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</si>
  <si>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</si>
  <si>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</si>
  <si>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</si>
  <si>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</si>
  <si>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</si>
  <si>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</si>
  <si>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</si>
  <si>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</si>
  <si>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</si>
  <si>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</si>
  <si>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</si>
  <si>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</si>
  <si>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</si>
  <si>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</si>
  <si>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</si>
  <si>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</si>
  <si>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</si>
  <si>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</si>
  <si>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</si>
  <si>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</si>
  <si>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</si>
  <si>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</si>
  <si>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</si>
  <si>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</si>
  <si>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</si>
  <si>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</si>
  <si>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</si>
  <si>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</si>
  <si>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</si>
  <si>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</si>
  <si>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</si>
  <si>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</si>
  <si>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</si>
  <si>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</si>
  <si>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</si>
  <si>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</si>
  <si>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</si>
  <si>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</si>
  <si>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</si>
  <si>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</si>
  <si>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</si>
  <si>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</si>
  <si>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</si>
  <si>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</si>
  <si>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</si>
  <si>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</si>
  <si>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</si>
  <si>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</si>
  <si>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</si>
  <si>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</si>
  <si>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</si>
  <si>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</si>
  <si>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</si>
  <si>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</si>
  <si>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</si>
  <si>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</si>
  <si>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</si>
  <si>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</si>
  <si>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</si>
  <si>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</si>
  <si>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</si>
  <si>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</si>
  <si>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</si>
  <si>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</si>
  <si>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</si>
  <si>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</si>
  <si>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</si>
  <si>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</si>
  <si>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</si>
  <si>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</si>
  <si>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</si>
  <si>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</si>
  <si>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</si>
  <si>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</si>
  <si>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</si>
  <si>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</si>
  <si>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</si>
  <si>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</si>
  <si>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</si>
  <si>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</si>
  <si>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</si>
  <si>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</si>
  <si>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</si>
  <si>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</si>
  <si>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</si>
  <si>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</si>
  <si>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</si>
  <si>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</si>
  <si>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</si>
  <si>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</si>
  <si>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</si>
  <si>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</si>
  <si>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</si>
  <si>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</si>
  <si>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</si>
  <si>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</si>
  <si>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</si>
  <si>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</si>
  <si>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</si>
  <si>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</si>
  <si>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</si>
  <si>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</si>
  <si>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</si>
  <si>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</si>
  <si>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</si>
  <si>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</si>
  <si>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</si>
  <si>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</si>
  <si>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</si>
  <si>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</si>
  <si>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</si>
  <si>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</si>
  <si>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</si>
  <si>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</si>
  <si>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</si>
  <si>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</si>
  <si>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</si>
  <si>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</si>
  <si>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</si>
  <si>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</si>
  <si>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</si>
  <si>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</si>
  <si>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</si>
  <si>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</si>
  <si>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</si>
  <si>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</si>
  <si>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</si>
  <si>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</si>
  <si>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</si>
  <si>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</si>
  <si>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</si>
  <si>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</si>
  <si>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</si>
  <si>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</si>
  <si>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</si>
  <si>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</si>
  <si>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</si>
  <si>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</si>
  <si>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</si>
  <si>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</si>
  <si>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</si>
  <si>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</si>
  <si>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</si>
  <si>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</si>
  <si>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</si>
  <si>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</si>
  <si>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</si>
  <si>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</si>
  <si>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</si>
  <si>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</si>
  <si>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</si>
  <si>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</si>
  <si>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</si>
  <si>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</si>
  <si>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</si>
  <si>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</si>
  <si>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</si>
  <si>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</si>
  <si>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</si>
  <si>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</si>
  <si>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</si>
  <si>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</si>
  <si>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</si>
  <si>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</si>
  <si>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</si>
  <si>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</si>
  <si>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</si>
  <si>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</si>
  <si>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</si>
  <si>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</si>
  <si>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</si>
  <si>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</si>
  <si>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</si>
  <si>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</si>
  <si>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</si>
  <si>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</si>
  <si>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</si>
  <si>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</si>
  <si>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</si>
  <si>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</si>
  <si>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</si>
  <si>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</si>
  <si>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</si>
  <si>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</si>
  <si>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</si>
  <si>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</si>
  <si>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</si>
  <si>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</si>
  <si>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</si>
  <si>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</si>
  <si>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</si>
  <si>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</si>
  <si>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</si>
  <si>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</si>
  <si>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</si>
  <si>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</si>
  <si>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</si>
  <si>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</si>
  <si>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</si>
  <si>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</si>
  <si>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</si>
  <si>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</si>
  <si>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</si>
  <si>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</si>
  <si>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</si>
  <si>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</si>
  <si>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</si>
  <si>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</si>
  <si>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</si>
  <si>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</si>
  <si>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</si>
  <si>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</si>
  <si>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</si>
  <si>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</si>
  <si>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</si>
  <si>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</si>
  <si>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</si>
  <si>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</si>
  <si>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</si>
  <si>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</si>
  <si>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</si>
  <si>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</si>
  <si>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</si>
  <si>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</si>
  <si>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</si>
  <si>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</si>
  <si>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</si>
  <si>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</si>
  <si>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</si>
  <si>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</si>
  <si>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</si>
  <si>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</si>
  <si>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</si>
  <si>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</si>
  <si>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</si>
  <si>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</si>
  <si>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</si>
  <si>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</si>
  <si>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</si>
  <si>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</si>
  <si>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</si>
  <si>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</si>
  <si>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</si>
  <si>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13017</t>
  </si>
  <si>
    <t>KASTERLEE</t>
  </si>
  <si>
    <t>Paarden&amp;pony's 200 - 600 kg</t>
  </si>
  <si>
    <t>Paarden&amp;pony's &lt; 200 kg</t>
  </si>
  <si>
    <t>Fluvius</t>
  </si>
  <si>
    <t xml:space="preserve">Bron: </t>
  </si>
  <si>
    <t>referentietaak LNE (2017); Jaarverslag De Lijn</t>
  </si>
  <si>
    <t>Aquafin NV</t>
  </si>
  <si>
    <t>Dijkstraat 8, 2630 Aartselaar</t>
  </si>
  <si>
    <t>BGS-0045 RWZI Lichtaart</t>
  </si>
  <si>
    <t>biogas - RWZI</t>
  </si>
  <si>
    <t>niet WKK interne verbrandingsmotor (gas)</t>
  </si>
  <si>
    <t>Hoebenschot 200, 2460 Lichtaart</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</si>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</sst>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13017</v>
      </c>
      <c r="B6" s="386"/>
      <c r="C6" s="387"/>
    </row>
    <row r="7" spans="1:7" s="384" customFormat="1" ht="15.75" customHeight="1">
      <c r="A7" s="388" t="str">
        <f>txtMunicipality</f>
        <v>KASTERLEE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24363.65376033209</v>
      </c>
      <c r="D10" s="676">
        <f ca="1">tertiair!C16</f>
        <v>0</v>
      </c>
      <c r="E10" s="676">
        <f ca="1">tertiair!D16</f>
        <v>22114.728902347142</v>
      </c>
      <c r="F10" s="676">
        <f>tertiair!E16</f>
        <v>546.45797121100497</v>
      </c>
      <c r="G10" s="676">
        <f ca="1">tertiair!F16</f>
        <v>4482.8073767075002</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3.1266666666666669</v>
      </c>
      <c r="Q10" s="677">
        <f>tertiair!P16</f>
        <v>19.066666666666666</v>
      </c>
      <c r="R10" s="679">
        <f ca="1">SUM(C10:Q10)</f>
        <v>51529.841343931068</v>
      </c>
      <c r="S10" s="67"/>
    </row>
    <row r="11" spans="1:19" s="445" customFormat="1">
      <c r="A11" s="791" t="s">
        <v>220</v>
      </c>
      <c r="B11" s="796"/>
      <c r="C11" s="676">
        <f>huishoudens!B8</f>
        <v>32999.724885369826</v>
      </c>
      <c r="D11" s="676">
        <f>huishoudens!C8</f>
        <v>0</v>
      </c>
      <c r="E11" s="676">
        <f>huishoudens!D8</f>
        <v>59440.342777619939</v>
      </c>
      <c r="F11" s="676">
        <f>huishoudens!E8</f>
        <v>1795.8711668728884</v>
      </c>
      <c r="G11" s="676">
        <f>huishoudens!F8</f>
        <v>61300.976931171164</v>
      </c>
      <c r="H11" s="676">
        <f>huishoudens!G8</f>
        <v>0</v>
      </c>
      <c r="I11" s="676">
        <f>huishoudens!H8</f>
        <v>0</v>
      </c>
      <c r="J11" s="676">
        <f>huishoudens!I8</f>
        <v>0</v>
      </c>
      <c r="K11" s="676">
        <f>huishoudens!J8</f>
        <v>1380.3425849088567</v>
      </c>
      <c r="L11" s="676">
        <f>huishoudens!K8</f>
        <v>0</v>
      </c>
      <c r="M11" s="676">
        <f>huishoudens!L8</f>
        <v>0</v>
      </c>
      <c r="N11" s="676">
        <f>huishoudens!M8</f>
        <v>0</v>
      </c>
      <c r="O11" s="676">
        <f>huishoudens!N8</f>
        <v>8859.405637107453</v>
      </c>
      <c r="P11" s="676">
        <f>huishoudens!O8</f>
        <v>125.06666666666666</v>
      </c>
      <c r="Q11" s="677">
        <f>huishoudens!P8</f>
        <v>514.79999999999995</v>
      </c>
      <c r="R11" s="679">
        <f>SUM(C11:Q11)</f>
        <v>166416.53064971679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12450.829736718928</v>
      </c>
      <c r="D13" s="676">
        <f>industrie!C18</f>
        <v>0</v>
      </c>
      <c r="E13" s="676">
        <f>industrie!D18</f>
        <v>3357.1342938933085</v>
      </c>
      <c r="F13" s="676">
        <f>industrie!E18</f>
        <v>123.00995476545161</v>
      </c>
      <c r="G13" s="676">
        <f>industrie!F18</f>
        <v>2787.2721960960421</v>
      </c>
      <c r="H13" s="676">
        <f>industrie!G18</f>
        <v>0</v>
      </c>
      <c r="I13" s="676">
        <f>industrie!H18</f>
        <v>0</v>
      </c>
      <c r="J13" s="676">
        <f>industrie!I18</f>
        <v>0</v>
      </c>
      <c r="K13" s="676">
        <f>industrie!J18</f>
        <v>47.603678760037582</v>
      </c>
      <c r="L13" s="676">
        <f>industrie!K18</f>
        <v>0</v>
      </c>
      <c r="M13" s="676">
        <f>industrie!L18</f>
        <v>0</v>
      </c>
      <c r="N13" s="676">
        <f>industrie!M18</f>
        <v>0</v>
      </c>
      <c r="O13" s="676">
        <f>industrie!N18</f>
        <v>256.49567054217175</v>
      </c>
      <c r="P13" s="676">
        <f>industrie!O18</f>
        <v>0</v>
      </c>
      <c r="Q13" s="677">
        <f>industrie!P18</f>
        <v>0</v>
      </c>
      <c r="R13" s="679">
        <f>SUM(C13:Q13)</f>
        <v>19022.34553077594</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69814.208382420838</v>
      </c>
      <c r="D16" s="709">
        <f t="shared" ref="D16:R16" ca="1" si="0">SUM(D9:D15)</f>
        <v>0</v>
      </c>
      <c r="E16" s="709">
        <f t="shared" ca="1" si="0"/>
        <v>84912.205973860386</v>
      </c>
      <c r="F16" s="709">
        <f t="shared" si="0"/>
        <v>2465.339092849345</v>
      </c>
      <c r="G16" s="709">
        <f t="shared" ca="1" si="0"/>
        <v>68571.056503974716</v>
      </c>
      <c r="H16" s="709">
        <f t="shared" si="0"/>
        <v>0</v>
      </c>
      <c r="I16" s="709">
        <f t="shared" si="0"/>
        <v>0</v>
      </c>
      <c r="J16" s="709">
        <f t="shared" si="0"/>
        <v>0</v>
      </c>
      <c r="K16" s="709">
        <f t="shared" si="0"/>
        <v>1427.9462636688943</v>
      </c>
      <c r="L16" s="709">
        <f t="shared" si="0"/>
        <v>0</v>
      </c>
      <c r="M16" s="709">
        <f t="shared" ca="1" si="0"/>
        <v>0</v>
      </c>
      <c r="N16" s="709">
        <f t="shared" si="0"/>
        <v>0</v>
      </c>
      <c r="O16" s="709">
        <f t="shared" ca="1" si="0"/>
        <v>9115.9013076496249</v>
      </c>
      <c r="P16" s="709">
        <f t="shared" si="0"/>
        <v>128.19333333333333</v>
      </c>
      <c r="Q16" s="709">
        <f t="shared" si="0"/>
        <v>533.86666666666667</v>
      </c>
      <c r="R16" s="709">
        <f t="shared" ca="1" si="0"/>
        <v>236968.71752442379</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7.2071184839199116</v>
      </c>
      <c r="D19" s="676">
        <f>transport!C54</f>
        <v>0</v>
      </c>
      <c r="E19" s="676">
        <f>transport!D54</f>
        <v>0</v>
      </c>
      <c r="F19" s="676">
        <f>transport!E54</f>
        <v>0</v>
      </c>
      <c r="G19" s="676">
        <f>transport!F54</f>
        <v>0</v>
      </c>
      <c r="H19" s="676">
        <f>transport!G54</f>
        <v>1563.5119966377038</v>
      </c>
      <c r="I19" s="676">
        <f>transport!H54</f>
        <v>0</v>
      </c>
      <c r="J19" s="676">
        <f>transport!I54</f>
        <v>0</v>
      </c>
      <c r="K19" s="676">
        <f>transport!J54</f>
        <v>0</v>
      </c>
      <c r="L19" s="676">
        <f>transport!K54</f>
        <v>0</v>
      </c>
      <c r="M19" s="676">
        <f>transport!L54</f>
        <v>0</v>
      </c>
      <c r="N19" s="676">
        <f>transport!M54</f>
        <v>66.943577857089537</v>
      </c>
      <c r="O19" s="676">
        <f>transport!N54</f>
        <v>0</v>
      </c>
      <c r="P19" s="676">
        <f>transport!O54</f>
        <v>0</v>
      </c>
      <c r="Q19" s="677">
        <f>transport!P54</f>
        <v>0</v>
      </c>
      <c r="R19" s="679">
        <f>SUM(C19:Q19)</f>
        <v>1637.6626929787133</v>
      </c>
      <c r="S19" s="67"/>
    </row>
    <row r="20" spans="1:19" s="445" customFormat="1">
      <c r="A20" s="791" t="s">
        <v>302</v>
      </c>
      <c r="B20" s="796"/>
      <c r="C20" s="676">
        <f>transport!B14</f>
        <v>1.2891204116062829</v>
      </c>
      <c r="D20" s="676">
        <f>transport!C14</f>
        <v>0</v>
      </c>
      <c r="E20" s="676">
        <f>transport!D14</f>
        <v>4.4203122229656771</v>
      </c>
      <c r="F20" s="676">
        <f>transport!E14</f>
        <v>453.99617669698455</v>
      </c>
      <c r="G20" s="676">
        <f>transport!F14</f>
        <v>0</v>
      </c>
      <c r="H20" s="676">
        <f>transport!G14</f>
        <v>78630.980047721925</v>
      </c>
      <c r="I20" s="676">
        <f>transport!H14</f>
        <v>14514.728056657485</v>
      </c>
      <c r="J20" s="676">
        <f>transport!I14</f>
        <v>0</v>
      </c>
      <c r="K20" s="676">
        <f>transport!J14</f>
        <v>0</v>
      </c>
      <c r="L20" s="676">
        <f>transport!K14</f>
        <v>0</v>
      </c>
      <c r="M20" s="676">
        <f>transport!L14</f>
        <v>0</v>
      </c>
      <c r="N20" s="676">
        <f>transport!M14</f>
        <v>4055.3992109439591</v>
      </c>
      <c r="O20" s="676">
        <f>transport!N14</f>
        <v>0</v>
      </c>
      <c r="P20" s="676">
        <f>transport!O14</f>
        <v>0</v>
      </c>
      <c r="Q20" s="677">
        <f>transport!P14</f>
        <v>0</v>
      </c>
      <c r="R20" s="679">
        <f>SUM(C20:Q20)</f>
        <v>97660.812924654922</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8.4962388955261936</v>
      </c>
      <c r="D22" s="794">
        <f t="shared" ref="D22:R22" si="1">SUM(D18:D21)</f>
        <v>0</v>
      </c>
      <c r="E22" s="794">
        <f t="shared" si="1"/>
        <v>4.4203122229656771</v>
      </c>
      <c r="F22" s="794">
        <f t="shared" si="1"/>
        <v>453.99617669698455</v>
      </c>
      <c r="G22" s="794">
        <f t="shared" si="1"/>
        <v>0</v>
      </c>
      <c r="H22" s="794">
        <f t="shared" si="1"/>
        <v>80194.492044359635</v>
      </c>
      <c r="I22" s="794">
        <f t="shared" si="1"/>
        <v>14514.728056657485</v>
      </c>
      <c r="J22" s="794">
        <f t="shared" si="1"/>
        <v>0</v>
      </c>
      <c r="K22" s="794">
        <f t="shared" si="1"/>
        <v>0</v>
      </c>
      <c r="L22" s="794">
        <f t="shared" si="1"/>
        <v>0</v>
      </c>
      <c r="M22" s="794">
        <f t="shared" si="1"/>
        <v>0</v>
      </c>
      <c r="N22" s="794">
        <f t="shared" si="1"/>
        <v>4122.3427888010483</v>
      </c>
      <c r="O22" s="794">
        <f t="shared" si="1"/>
        <v>0</v>
      </c>
      <c r="P22" s="794">
        <f t="shared" si="1"/>
        <v>0</v>
      </c>
      <c r="Q22" s="794">
        <f t="shared" si="1"/>
        <v>0</v>
      </c>
      <c r="R22" s="794">
        <f t="shared" si="1"/>
        <v>99298.475617633638</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4302.1830370011767</v>
      </c>
      <c r="D24" s="676">
        <f>+landbouw!C8</f>
        <v>0</v>
      </c>
      <c r="E24" s="676">
        <f>+landbouw!D8</f>
        <v>241.13171357045201</v>
      </c>
      <c r="F24" s="676">
        <f>+landbouw!E8</f>
        <v>45.053392148122192</v>
      </c>
      <c r="G24" s="676">
        <f>+landbouw!F8</f>
        <v>18416.61236321268</v>
      </c>
      <c r="H24" s="676">
        <f>+landbouw!G8</f>
        <v>0</v>
      </c>
      <c r="I24" s="676">
        <f>+landbouw!H8</f>
        <v>0</v>
      </c>
      <c r="J24" s="676">
        <f>+landbouw!I8</f>
        <v>0</v>
      </c>
      <c r="K24" s="676">
        <f>+landbouw!J8</f>
        <v>384.22350632860542</v>
      </c>
      <c r="L24" s="676">
        <f>+landbouw!K8</f>
        <v>0</v>
      </c>
      <c r="M24" s="676">
        <f>+landbouw!L8</f>
        <v>0</v>
      </c>
      <c r="N24" s="676">
        <f>+landbouw!M8</f>
        <v>0</v>
      </c>
      <c r="O24" s="676">
        <f>+landbouw!N8</f>
        <v>0</v>
      </c>
      <c r="P24" s="676">
        <f>+landbouw!O8</f>
        <v>0</v>
      </c>
      <c r="Q24" s="677">
        <f>+landbouw!P8</f>
        <v>0</v>
      </c>
      <c r="R24" s="679">
        <f>SUM(C24:Q24)</f>
        <v>23389.204012261038</v>
      </c>
      <c r="S24" s="67"/>
    </row>
    <row r="25" spans="1:19" s="445" customFormat="1" ht="15" thickBot="1">
      <c r="A25" s="813" t="s">
        <v>895</v>
      </c>
      <c r="B25" s="968"/>
      <c r="C25" s="969">
        <f>IF(Onbekend_ele_kWh="---",0,Onbekend_ele_kWh)/1000+IF(REST_rest_ele_kWh="---",0,REST_rest_ele_kWh)/1000</f>
        <v>1698.02953149836</v>
      </c>
      <c r="D25" s="969"/>
      <c r="E25" s="969">
        <f>IF(onbekend_gas_kWh="---",0,onbekend_gas_kWh)/1000+IF(REST_rest_gas_kWh="---",0,REST_rest_gas_kWh)/1000</f>
        <v>3332.1677329430599</v>
      </c>
      <c r="F25" s="969"/>
      <c r="G25" s="969"/>
      <c r="H25" s="969"/>
      <c r="I25" s="969"/>
      <c r="J25" s="969"/>
      <c r="K25" s="969"/>
      <c r="L25" s="969"/>
      <c r="M25" s="969"/>
      <c r="N25" s="969"/>
      <c r="O25" s="969"/>
      <c r="P25" s="969"/>
      <c r="Q25" s="970"/>
      <c r="R25" s="679">
        <f>SUM(C25:Q25)</f>
        <v>5030.19726444142</v>
      </c>
      <c r="S25" s="67"/>
    </row>
    <row r="26" spans="1:19" s="445" customFormat="1" ht="15.75" thickBot="1">
      <c r="A26" s="682" t="s">
        <v>896</v>
      </c>
      <c r="B26" s="799"/>
      <c r="C26" s="794">
        <f>SUM(C24:C25)</f>
        <v>6000.2125684995372</v>
      </c>
      <c r="D26" s="794">
        <f t="shared" ref="D26:R26" si="2">SUM(D24:D25)</f>
        <v>0</v>
      </c>
      <c r="E26" s="794">
        <f t="shared" si="2"/>
        <v>3573.2994465135121</v>
      </c>
      <c r="F26" s="794">
        <f t="shared" si="2"/>
        <v>45.053392148122192</v>
      </c>
      <c r="G26" s="794">
        <f t="shared" si="2"/>
        <v>18416.61236321268</v>
      </c>
      <c r="H26" s="794">
        <f t="shared" si="2"/>
        <v>0</v>
      </c>
      <c r="I26" s="794">
        <f t="shared" si="2"/>
        <v>0</v>
      </c>
      <c r="J26" s="794">
        <f t="shared" si="2"/>
        <v>0</v>
      </c>
      <c r="K26" s="794">
        <f t="shared" si="2"/>
        <v>384.22350632860542</v>
      </c>
      <c r="L26" s="794">
        <f t="shared" si="2"/>
        <v>0</v>
      </c>
      <c r="M26" s="794">
        <f t="shared" si="2"/>
        <v>0</v>
      </c>
      <c r="N26" s="794">
        <f t="shared" si="2"/>
        <v>0</v>
      </c>
      <c r="O26" s="794">
        <f t="shared" si="2"/>
        <v>0</v>
      </c>
      <c r="P26" s="794">
        <f t="shared" si="2"/>
        <v>0</v>
      </c>
      <c r="Q26" s="794">
        <f t="shared" si="2"/>
        <v>0</v>
      </c>
      <c r="R26" s="794">
        <f t="shared" si="2"/>
        <v>28419.401276702458</v>
      </c>
      <c r="S26" s="67"/>
    </row>
    <row r="27" spans="1:19" s="445" customFormat="1" ht="17.25" thickTop="1" thickBot="1">
      <c r="A27" s="683" t="s">
        <v>115</v>
      </c>
      <c r="B27" s="786"/>
      <c r="C27" s="684">
        <f ca="1">C22+C16+C26</f>
        <v>75822.917189815911</v>
      </c>
      <c r="D27" s="684">
        <f t="shared" ref="D27:R27" ca="1" si="3">D22+D16+D26</f>
        <v>0</v>
      </c>
      <c r="E27" s="684">
        <f t="shared" ca="1" si="3"/>
        <v>88489.925732596865</v>
      </c>
      <c r="F27" s="684">
        <f t="shared" si="3"/>
        <v>2964.3886616944519</v>
      </c>
      <c r="G27" s="684">
        <f t="shared" ca="1" si="3"/>
        <v>86987.6688671874</v>
      </c>
      <c r="H27" s="684">
        <f t="shared" si="3"/>
        <v>80194.492044359635</v>
      </c>
      <c r="I27" s="684">
        <f t="shared" si="3"/>
        <v>14514.728056657485</v>
      </c>
      <c r="J27" s="684">
        <f t="shared" si="3"/>
        <v>0</v>
      </c>
      <c r="K27" s="684">
        <f t="shared" si="3"/>
        <v>1812.1697699974998</v>
      </c>
      <c r="L27" s="684">
        <f t="shared" si="3"/>
        <v>0</v>
      </c>
      <c r="M27" s="684">
        <f t="shared" ca="1" si="3"/>
        <v>0</v>
      </c>
      <c r="N27" s="684">
        <f t="shared" si="3"/>
        <v>4122.3427888010483</v>
      </c>
      <c r="O27" s="684">
        <f t="shared" ca="1" si="3"/>
        <v>9115.9013076496249</v>
      </c>
      <c r="P27" s="684">
        <f t="shared" si="3"/>
        <v>128.19333333333333</v>
      </c>
      <c r="Q27" s="684">
        <f t="shared" si="3"/>
        <v>533.86666666666667</v>
      </c>
      <c r="R27" s="684">
        <f t="shared" ca="1" si="3"/>
        <v>364686.59441875987</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4991.6065146961337</v>
      </c>
      <c r="D40" s="676">
        <f ca="1">tertiair!C20</f>
        <v>0</v>
      </c>
      <c r="E40" s="676">
        <f ca="1">tertiair!D20</f>
        <v>4467.1752382741233</v>
      </c>
      <c r="F40" s="676">
        <f>tertiair!E20</f>
        <v>124.04595946489813</v>
      </c>
      <c r="G40" s="676">
        <f ca="1">tertiair!F20</f>
        <v>1196.9095695809026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10779.737282016058</v>
      </c>
    </row>
    <row r="41" spans="1:18">
      <c r="A41" s="804" t="s">
        <v>220</v>
      </c>
      <c r="B41" s="811"/>
      <c r="C41" s="676">
        <f ca="1">huishoudens!B12</f>
        <v>6760.9580788405883</v>
      </c>
      <c r="D41" s="676">
        <f ca="1">huishoudens!C12</f>
        <v>0</v>
      </c>
      <c r="E41" s="676">
        <f>huishoudens!D12</f>
        <v>12006.949241079228</v>
      </c>
      <c r="F41" s="676">
        <f>huishoudens!E12</f>
        <v>407.66275488014566</v>
      </c>
      <c r="G41" s="676">
        <f>huishoudens!F12</f>
        <v>16367.360840622701</v>
      </c>
      <c r="H41" s="676">
        <f>huishoudens!G12</f>
        <v>0</v>
      </c>
      <c r="I41" s="676">
        <f>huishoudens!H12</f>
        <v>0</v>
      </c>
      <c r="J41" s="676">
        <f>huishoudens!I12</f>
        <v>0</v>
      </c>
      <c r="K41" s="676">
        <f>huishoudens!J12</f>
        <v>488.64127505773524</v>
      </c>
      <c r="L41" s="676">
        <f>huishoudens!K12</f>
        <v>0</v>
      </c>
      <c r="M41" s="676">
        <f>huishoudens!L12</f>
        <v>0</v>
      </c>
      <c r="N41" s="676">
        <f>huishoudens!M12</f>
        <v>0</v>
      </c>
      <c r="O41" s="676">
        <f>huishoudens!N12</f>
        <v>0</v>
      </c>
      <c r="P41" s="676">
        <f>huishoudens!O12</f>
        <v>0</v>
      </c>
      <c r="Q41" s="751">
        <f>huishoudens!P12</f>
        <v>0</v>
      </c>
      <c r="R41" s="832">
        <f t="shared" ca="1" si="4"/>
        <v>36031.572190480401</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2550.9163542772085</v>
      </c>
      <c r="D43" s="676">
        <f ca="1">industrie!C22</f>
        <v>0</v>
      </c>
      <c r="E43" s="676">
        <f>industrie!D22</f>
        <v>678.14112736644836</v>
      </c>
      <c r="F43" s="676">
        <f>industrie!E22</f>
        <v>27.923259731757515</v>
      </c>
      <c r="G43" s="676">
        <f>industrie!F22</f>
        <v>744.20167635764324</v>
      </c>
      <c r="H43" s="676">
        <f>industrie!G22</f>
        <v>0</v>
      </c>
      <c r="I43" s="676">
        <f>industrie!H22</f>
        <v>0</v>
      </c>
      <c r="J43" s="676">
        <f>industrie!I22</f>
        <v>0</v>
      </c>
      <c r="K43" s="676">
        <f>industrie!J22</f>
        <v>16.851702281053303</v>
      </c>
      <c r="L43" s="676">
        <f>industrie!K22</f>
        <v>0</v>
      </c>
      <c r="M43" s="676">
        <f>industrie!L22</f>
        <v>0</v>
      </c>
      <c r="N43" s="676">
        <f>industrie!M22</f>
        <v>0</v>
      </c>
      <c r="O43" s="676">
        <f>industrie!N22</f>
        <v>0</v>
      </c>
      <c r="P43" s="676">
        <f>industrie!O22</f>
        <v>0</v>
      </c>
      <c r="Q43" s="751">
        <f>industrie!P22</f>
        <v>0</v>
      </c>
      <c r="R43" s="831">
        <f t="shared" ca="1" si="4"/>
        <v>4018.0341200141106</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14303.480947813929</v>
      </c>
      <c r="D46" s="709">
        <f t="shared" ref="D46:Q46" ca="1" si="5">SUM(D39:D45)</f>
        <v>0</v>
      </c>
      <c r="E46" s="709">
        <f t="shared" ca="1" si="5"/>
        <v>17152.2656067198</v>
      </c>
      <c r="F46" s="709">
        <f t="shared" si="5"/>
        <v>559.63197407680127</v>
      </c>
      <c r="G46" s="709">
        <f t="shared" ca="1" si="5"/>
        <v>18308.472086561247</v>
      </c>
      <c r="H46" s="709">
        <f t="shared" si="5"/>
        <v>0</v>
      </c>
      <c r="I46" s="709">
        <f t="shared" si="5"/>
        <v>0</v>
      </c>
      <c r="J46" s="709">
        <f t="shared" si="5"/>
        <v>0</v>
      </c>
      <c r="K46" s="709">
        <f t="shared" si="5"/>
        <v>505.49297733878853</v>
      </c>
      <c r="L46" s="709">
        <f t="shared" si="5"/>
        <v>0</v>
      </c>
      <c r="M46" s="709">
        <f t="shared" ca="1" si="5"/>
        <v>0</v>
      </c>
      <c r="N46" s="709">
        <f t="shared" si="5"/>
        <v>0</v>
      </c>
      <c r="O46" s="709">
        <f t="shared" ca="1" si="5"/>
        <v>0</v>
      </c>
      <c r="P46" s="709">
        <f t="shared" si="5"/>
        <v>0</v>
      </c>
      <c r="Q46" s="709">
        <f t="shared" si="5"/>
        <v>0</v>
      </c>
      <c r="R46" s="709">
        <f ca="1">SUM(R39:R45)</f>
        <v>50829.343592510573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1.4765888536429106</v>
      </c>
      <c r="D49" s="676">
        <f ca="1">transport!C58</f>
        <v>0</v>
      </c>
      <c r="E49" s="676">
        <f>transport!D58</f>
        <v>0</v>
      </c>
      <c r="F49" s="676">
        <f>transport!E58</f>
        <v>0</v>
      </c>
      <c r="G49" s="676">
        <f>transport!F58</f>
        <v>0</v>
      </c>
      <c r="H49" s="676">
        <f>transport!G58</f>
        <v>417.45770310226692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418.93429195590983</v>
      </c>
    </row>
    <row r="50" spans="1:18">
      <c r="A50" s="807" t="s">
        <v>302</v>
      </c>
      <c r="B50" s="817"/>
      <c r="C50" s="975">
        <f ca="1">transport!B18</f>
        <v>0.26411399160820992</v>
      </c>
      <c r="D50" s="975">
        <f>transport!C18</f>
        <v>0</v>
      </c>
      <c r="E50" s="975">
        <f>transport!D18</f>
        <v>0.8929030690390668</v>
      </c>
      <c r="F50" s="975">
        <f>transport!E18</f>
        <v>103.05713211021549</v>
      </c>
      <c r="G50" s="975">
        <f>transport!F18</f>
        <v>0</v>
      </c>
      <c r="H50" s="975">
        <f>transport!G18</f>
        <v>20994.471672741754</v>
      </c>
      <c r="I50" s="975">
        <f>transport!H18</f>
        <v>3614.1672861077136</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24712.853108020332</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1.7407028452511204</v>
      </c>
      <c r="D52" s="709">
        <f t="shared" ref="D52:Q52" ca="1" si="6">SUM(D48:D51)</f>
        <v>0</v>
      </c>
      <c r="E52" s="709">
        <f t="shared" si="6"/>
        <v>0.8929030690390668</v>
      </c>
      <c r="F52" s="709">
        <f t="shared" si="6"/>
        <v>103.05713211021549</v>
      </c>
      <c r="G52" s="709">
        <f t="shared" si="6"/>
        <v>0</v>
      </c>
      <c r="H52" s="709">
        <f t="shared" si="6"/>
        <v>21411.929375844022</v>
      </c>
      <c r="I52" s="709">
        <f t="shared" si="6"/>
        <v>3614.1672861077136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25131.787399976241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881.42792892068894</v>
      </c>
      <c r="D54" s="975">
        <f ca="1">+landbouw!C12</f>
        <v>0</v>
      </c>
      <c r="E54" s="975">
        <f>+landbouw!D12</f>
        <v>48.708606141231307</v>
      </c>
      <c r="F54" s="975">
        <f>+landbouw!E12</f>
        <v>10.227120017623738</v>
      </c>
      <c r="G54" s="975">
        <f>+landbouw!F12</f>
        <v>4917.2355009777857</v>
      </c>
      <c r="H54" s="975">
        <f>+landbouw!G12</f>
        <v>0</v>
      </c>
      <c r="I54" s="975">
        <f>+landbouw!H12</f>
        <v>0</v>
      </c>
      <c r="J54" s="975">
        <f>+landbouw!I12</f>
        <v>0</v>
      </c>
      <c r="K54" s="975">
        <f>+landbouw!J12</f>
        <v>136.01512124032632</v>
      </c>
      <c r="L54" s="975">
        <f>+landbouw!K12</f>
        <v>0</v>
      </c>
      <c r="M54" s="975">
        <f>+landbouw!L12</f>
        <v>0</v>
      </c>
      <c r="N54" s="975">
        <f>+landbouw!M12</f>
        <v>0</v>
      </c>
      <c r="O54" s="975">
        <f>+landbouw!N12</f>
        <v>0</v>
      </c>
      <c r="P54" s="975">
        <f>+landbouw!O12</f>
        <v>0</v>
      </c>
      <c r="Q54" s="976">
        <f>+landbouw!P12</f>
        <v>0</v>
      </c>
      <c r="R54" s="708">
        <f ca="1">SUM(C54:Q54)</f>
        <v>5993.6142772976555</v>
      </c>
    </row>
    <row r="55" spans="1:18" ht="15" thickBot="1">
      <c r="A55" s="807" t="s">
        <v>895</v>
      </c>
      <c r="B55" s="817"/>
      <c r="C55" s="975">
        <f ca="1">C25*'EF ele_warmte'!B12</f>
        <v>347.89097542396308</v>
      </c>
      <c r="D55" s="975"/>
      <c r="E55" s="975">
        <f>E25*EF_CO2_aardgas</f>
        <v>673.0978820544982</v>
      </c>
      <c r="F55" s="975"/>
      <c r="G55" s="975"/>
      <c r="H55" s="975"/>
      <c r="I55" s="975"/>
      <c r="J55" s="975"/>
      <c r="K55" s="975"/>
      <c r="L55" s="975"/>
      <c r="M55" s="975"/>
      <c r="N55" s="975"/>
      <c r="O55" s="975"/>
      <c r="P55" s="975"/>
      <c r="Q55" s="976"/>
      <c r="R55" s="708">
        <f ca="1">SUM(C55:Q55)</f>
        <v>1020.9888574784613</v>
      </c>
    </row>
    <row r="56" spans="1:18" ht="15.75" thickBot="1">
      <c r="A56" s="805" t="s">
        <v>896</v>
      </c>
      <c r="B56" s="818"/>
      <c r="C56" s="709">
        <f ca="1">SUM(C54:C55)</f>
        <v>1229.3189043446521</v>
      </c>
      <c r="D56" s="709">
        <f t="shared" ref="D56:Q56" ca="1" si="7">SUM(D54:D55)</f>
        <v>0</v>
      </c>
      <c r="E56" s="709">
        <f t="shared" si="7"/>
        <v>721.80648819572946</v>
      </c>
      <c r="F56" s="709">
        <f t="shared" si="7"/>
        <v>10.227120017623738</v>
      </c>
      <c r="G56" s="709">
        <f t="shared" si="7"/>
        <v>4917.2355009777857</v>
      </c>
      <c r="H56" s="709">
        <f t="shared" si="7"/>
        <v>0</v>
      </c>
      <c r="I56" s="709">
        <f t="shared" si="7"/>
        <v>0</v>
      </c>
      <c r="J56" s="709">
        <f t="shared" si="7"/>
        <v>0</v>
      </c>
      <c r="K56" s="709">
        <f t="shared" si="7"/>
        <v>136.01512124032632</v>
      </c>
      <c r="L56" s="709">
        <f t="shared" si="7"/>
        <v>0</v>
      </c>
      <c r="M56" s="709">
        <f t="shared" si="7"/>
        <v>0</v>
      </c>
      <c r="N56" s="709">
        <f t="shared" si="7"/>
        <v>0</v>
      </c>
      <c r="O56" s="709">
        <f t="shared" si="7"/>
        <v>0</v>
      </c>
      <c r="P56" s="709">
        <f t="shared" si="7"/>
        <v>0</v>
      </c>
      <c r="Q56" s="710">
        <f t="shared" si="7"/>
        <v>0</v>
      </c>
      <c r="R56" s="711">
        <f ca="1">SUM(R54:R55)</f>
        <v>7014.6031347761163</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15534.540555003832</v>
      </c>
      <c r="D61" s="717">
        <f t="shared" ref="D61:Q61" ca="1" si="8">D46+D52+D56</f>
        <v>0</v>
      </c>
      <c r="E61" s="717">
        <f t="shared" ca="1" si="8"/>
        <v>17874.964997984567</v>
      </c>
      <c r="F61" s="717">
        <f t="shared" si="8"/>
        <v>672.91622620464045</v>
      </c>
      <c r="G61" s="717">
        <f t="shared" ca="1" si="8"/>
        <v>23225.707587539033</v>
      </c>
      <c r="H61" s="717">
        <f t="shared" si="8"/>
        <v>21411.929375844022</v>
      </c>
      <c r="I61" s="717">
        <f t="shared" si="8"/>
        <v>3614.1672861077136</v>
      </c>
      <c r="J61" s="717">
        <f t="shared" si="8"/>
        <v>0</v>
      </c>
      <c r="K61" s="717">
        <f t="shared" si="8"/>
        <v>641.50809857911486</v>
      </c>
      <c r="L61" s="717">
        <f t="shared" si="8"/>
        <v>0</v>
      </c>
      <c r="M61" s="717">
        <f t="shared" ca="1" si="8"/>
        <v>0</v>
      </c>
      <c r="N61" s="717">
        <f t="shared" si="8"/>
        <v>0</v>
      </c>
      <c r="O61" s="717">
        <f t="shared" ca="1" si="8"/>
        <v>0</v>
      </c>
      <c r="P61" s="717">
        <f t="shared" si="8"/>
        <v>0</v>
      </c>
      <c r="Q61" s="717">
        <f t="shared" si="8"/>
        <v>0</v>
      </c>
      <c r="R61" s="717">
        <f ca="1">R46+R52+R56</f>
        <v>82975.734127262927</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0.2048792255791807</v>
      </c>
      <c r="D63" s="761">
        <f t="shared" ca="1" si="9"/>
        <v>0</v>
      </c>
      <c r="E63" s="977">
        <f t="shared" ca="1" si="9"/>
        <v>0.20200000000000001</v>
      </c>
      <c r="F63" s="761">
        <f t="shared" si="9"/>
        <v>0.22699999999999995</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1090.2333150273148</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3099.6451643640039</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1341</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3831.4285714285716</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5530.8784793913183</v>
      </c>
      <c r="C78" s="732">
        <f>SUM(C72:C77)</f>
        <v>0</v>
      </c>
      <c r="D78" s="733">
        <f t="shared" ref="D78:H78" si="10">SUM(D76:D77)</f>
        <v>0</v>
      </c>
      <c r="E78" s="733">
        <f t="shared" si="10"/>
        <v>0</v>
      </c>
      <c r="F78" s="733">
        <f t="shared" si="10"/>
        <v>0</v>
      </c>
      <c r="G78" s="733">
        <f t="shared" si="10"/>
        <v>0</v>
      </c>
      <c r="H78" s="733">
        <f t="shared" si="10"/>
        <v>0</v>
      </c>
      <c r="I78" s="733">
        <f>SUM(I76:I77)</f>
        <v>0</v>
      </c>
      <c r="J78" s="733">
        <f>SUM(J76:J77)</f>
        <v>3831.4285714285716</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32999.724885369826</v>
      </c>
      <c r="C4" s="449">
        <f>huishoudens!C8</f>
        <v>0</v>
      </c>
      <c r="D4" s="449">
        <f>huishoudens!D8</f>
        <v>59440.342777619939</v>
      </c>
      <c r="E4" s="449">
        <f>huishoudens!E8</f>
        <v>1795.8711668728884</v>
      </c>
      <c r="F4" s="449">
        <f>huishoudens!F8</f>
        <v>61300.976931171164</v>
      </c>
      <c r="G4" s="449">
        <f>huishoudens!G8</f>
        <v>0</v>
      </c>
      <c r="H4" s="449">
        <f>huishoudens!H8</f>
        <v>0</v>
      </c>
      <c r="I4" s="449">
        <f>huishoudens!I8</f>
        <v>0</v>
      </c>
      <c r="J4" s="449">
        <f>huishoudens!J8</f>
        <v>1380.3425849088567</v>
      </c>
      <c r="K4" s="449">
        <f>huishoudens!K8</f>
        <v>0</v>
      </c>
      <c r="L4" s="449">
        <f>huishoudens!L8</f>
        <v>0</v>
      </c>
      <c r="M4" s="449">
        <f>huishoudens!M8</f>
        <v>0</v>
      </c>
      <c r="N4" s="449">
        <f>huishoudens!N8</f>
        <v>8859.405637107453</v>
      </c>
      <c r="O4" s="449">
        <f>huishoudens!O8</f>
        <v>125.06666666666666</v>
      </c>
      <c r="P4" s="450">
        <f>huishoudens!P8</f>
        <v>514.79999999999995</v>
      </c>
      <c r="Q4" s="451">
        <f>SUM(B4:P4)</f>
        <v>166416.53064971679</v>
      </c>
    </row>
    <row r="5" spans="1:17">
      <c r="A5" s="448" t="s">
        <v>155</v>
      </c>
      <c r="B5" s="449">
        <f ca="1">tertiair!B16</f>
        <v>23607.16876033209</v>
      </c>
      <c r="C5" s="449">
        <f ca="1">tertiair!C16</f>
        <v>0</v>
      </c>
      <c r="D5" s="449">
        <f ca="1">tertiair!D16</f>
        <v>22114.728902347142</v>
      </c>
      <c r="E5" s="449">
        <f>tertiair!E16</f>
        <v>546.45797121100497</v>
      </c>
      <c r="F5" s="449">
        <f ca="1">tertiair!F16</f>
        <v>4482.8073767075002</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3.1266666666666669</v>
      </c>
      <c r="P5" s="450">
        <f>tertiair!P16</f>
        <v>19.066666666666666</v>
      </c>
      <c r="Q5" s="448">
        <f t="shared" ref="Q5:Q14" ca="1" si="0">SUM(B5:P5)</f>
        <v>50773.356343931067</v>
      </c>
    </row>
    <row r="6" spans="1:17">
      <c r="A6" s="448" t="s">
        <v>193</v>
      </c>
      <c r="B6" s="449">
        <f>'openbare verlichting'!B8</f>
        <v>756.48500000000001</v>
      </c>
      <c r="C6" s="449"/>
      <c r="D6" s="449"/>
      <c r="E6" s="449"/>
      <c r="F6" s="449"/>
      <c r="G6" s="449"/>
      <c r="H6" s="449"/>
      <c r="I6" s="449"/>
      <c r="J6" s="449"/>
      <c r="K6" s="449"/>
      <c r="L6" s="449"/>
      <c r="M6" s="449"/>
      <c r="N6" s="449"/>
      <c r="O6" s="449"/>
      <c r="P6" s="450"/>
      <c r="Q6" s="448">
        <f t="shared" si="0"/>
        <v>756.48500000000001</v>
      </c>
    </row>
    <row r="7" spans="1:17">
      <c r="A7" s="448" t="s">
        <v>111</v>
      </c>
      <c r="B7" s="449">
        <f>landbouw!B8</f>
        <v>4302.1830370011767</v>
      </c>
      <c r="C7" s="449">
        <f>landbouw!C8</f>
        <v>0</v>
      </c>
      <c r="D7" s="449">
        <f>landbouw!D8</f>
        <v>241.13171357045201</v>
      </c>
      <c r="E7" s="449">
        <f>landbouw!E8</f>
        <v>45.053392148122192</v>
      </c>
      <c r="F7" s="449">
        <f>landbouw!F8</f>
        <v>18416.61236321268</v>
      </c>
      <c r="G7" s="449">
        <f>landbouw!G8</f>
        <v>0</v>
      </c>
      <c r="H7" s="449">
        <f>landbouw!H8</f>
        <v>0</v>
      </c>
      <c r="I7" s="449">
        <f>landbouw!I8</f>
        <v>0</v>
      </c>
      <c r="J7" s="449">
        <f>landbouw!J8</f>
        <v>384.22350632860542</v>
      </c>
      <c r="K7" s="449">
        <f>landbouw!K8</f>
        <v>0</v>
      </c>
      <c r="L7" s="449">
        <f>landbouw!L8</f>
        <v>0</v>
      </c>
      <c r="M7" s="449">
        <f>landbouw!M8</f>
        <v>0</v>
      </c>
      <c r="N7" s="449">
        <f>landbouw!N8</f>
        <v>0</v>
      </c>
      <c r="O7" s="449">
        <f>landbouw!O8</f>
        <v>0</v>
      </c>
      <c r="P7" s="450">
        <f>landbouw!P8</f>
        <v>0</v>
      </c>
      <c r="Q7" s="448">
        <f t="shared" si="0"/>
        <v>23389.204012261038</v>
      </c>
    </row>
    <row r="8" spans="1:17">
      <c r="A8" s="448" t="s">
        <v>643</v>
      </c>
      <c r="B8" s="449">
        <f>industrie!B18</f>
        <v>12450.829736718928</v>
      </c>
      <c r="C8" s="449">
        <f>industrie!C18</f>
        <v>0</v>
      </c>
      <c r="D8" s="449">
        <f>industrie!D18</f>
        <v>3357.1342938933085</v>
      </c>
      <c r="E8" s="449">
        <f>industrie!E18</f>
        <v>123.00995476545161</v>
      </c>
      <c r="F8" s="449">
        <f>industrie!F18</f>
        <v>2787.2721960960421</v>
      </c>
      <c r="G8" s="449">
        <f>industrie!G18</f>
        <v>0</v>
      </c>
      <c r="H8" s="449">
        <f>industrie!H18</f>
        <v>0</v>
      </c>
      <c r="I8" s="449">
        <f>industrie!I18</f>
        <v>0</v>
      </c>
      <c r="J8" s="449">
        <f>industrie!J18</f>
        <v>47.603678760037582</v>
      </c>
      <c r="K8" s="449">
        <f>industrie!K18</f>
        <v>0</v>
      </c>
      <c r="L8" s="449">
        <f>industrie!L18</f>
        <v>0</v>
      </c>
      <c r="M8" s="449">
        <f>industrie!M18</f>
        <v>0</v>
      </c>
      <c r="N8" s="449">
        <f>industrie!N18</f>
        <v>256.49567054217175</v>
      </c>
      <c r="O8" s="449">
        <f>industrie!O18</f>
        <v>0</v>
      </c>
      <c r="P8" s="450">
        <f>industrie!P18</f>
        <v>0</v>
      </c>
      <c r="Q8" s="448">
        <f t="shared" si="0"/>
        <v>19022.34553077594</v>
      </c>
    </row>
    <row r="9" spans="1:17" s="454" customFormat="1">
      <c r="A9" s="452" t="s">
        <v>562</v>
      </c>
      <c r="B9" s="453">
        <f>transport!B14</f>
        <v>1.2891204116062829</v>
      </c>
      <c r="C9" s="453">
        <f>transport!C14</f>
        <v>0</v>
      </c>
      <c r="D9" s="453">
        <f>transport!D14</f>
        <v>4.4203122229656771</v>
      </c>
      <c r="E9" s="453">
        <f>transport!E14</f>
        <v>453.99617669698455</v>
      </c>
      <c r="F9" s="453">
        <f>transport!F14</f>
        <v>0</v>
      </c>
      <c r="G9" s="453">
        <f>transport!G14</f>
        <v>78630.980047721925</v>
      </c>
      <c r="H9" s="453">
        <f>transport!H14</f>
        <v>14514.728056657485</v>
      </c>
      <c r="I9" s="453">
        <f>transport!I14</f>
        <v>0</v>
      </c>
      <c r="J9" s="453">
        <f>transport!J14</f>
        <v>0</v>
      </c>
      <c r="K9" s="453">
        <f>transport!K14</f>
        <v>0</v>
      </c>
      <c r="L9" s="453">
        <f>transport!L14</f>
        <v>0</v>
      </c>
      <c r="M9" s="453">
        <f>transport!M14</f>
        <v>4055.3992109439591</v>
      </c>
      <c r="N9" s="453">
        <f>transport!N14</f>
        <v>0</v>
      </c>
      <c r="O9" s="453">
        <f>transport!O14</f>
        <v>0</v>
      </c>
      <c r="P9" s="453">
        <f>transport!P14</f>
        <v>0</v>
      </c>
      <c r="Q9" s="452">
        <f>SUM(B9:P9)</f>
        <v>97660.812924654922</v>
      </c>
    </row>
    <row r="10" spans="1:17">
      <c r="A10" s="448" t="s">
        <v>552</v>
      </c>
      <c r="B10" s="449">
        <f>transport!B54</f>
        <v>7.2071184839199116</v>
      </c>
      <c r="C10" s="449">
        <f>transport!C54</f>
        <v>0</v>
      </c>
      <c r="D10" s="449">
        <f>transport!D54</f>
        <v>0</v>
      </c>
      <c r="E10" s="449">
        <f>transport!E54</f>
        <v>0</v>
      </c>
      <c r="F10" s="449">
        <f>transport!F54</f>
        <v>0</v>
      </c>
      <c r="G10" s="449">
        <f>transport!G54</f>
        <v>1563.5119966377038</v>
      </c>
      <c r="H10" s="449">
        <f>transport!H54</f>
        <v>0</v>
      </c>
      <c r="I10" s="449">
        <f>transport!I54</f>
        <v>0</v>
      </c>
      <c r="J10" s="449">
        <f>transport!J54</f>
        <v>0</v>
      </c>
      <c r="K10" s="449">
        <f>transport!K54</f>
        <v>0</v>
      </c>
      <c r="L10" s="449">
        <f>transport!L54</f>
        <v>0</v>
      </c>
      <c r="M10" s="449">
        <f>transport!M54</f>
        <v>66.943577857089537</v>
      </c>
      <c r="N10" s="449">
        <f>transport!N54</f>
        <v>0</v>
      </c>
      <c r="O10" s="449">
        <f>transport!O54</f>
        <v>0</v>
      </c>
      <c r="P10" s="450">
        <f>transport!P54</f>
        <v>0</v>
      </c>
      <c r="Q10" s="448">
        <f t="shared" si="0"/>
        <v>1637.6626929787133</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1698.02953149836</v>
      </c>
      <c r="C14" s="456"/>
      <c r="D14" s="456">
        <f>'SEAP template'!E25</f>
        <v>3332.1677329430599</v>
      </c>
      <c r="E14" s="456"/>
      <c r="F14" s="456"/>
      <c r="G14" s="456"/>
      <c r="H14" s="456"/>
      <c r="I14" s="456"/>
      <c r="J14" s="456"/>
      <c r="K14" s="456"/>
      <c r="L14" s="456"/>
      <c r="M14" s="456"/>
      <c r="N14" s="456"/>
      <c r="O14" s="456"/>
      <c r="P14" s="457"/>
      <c r="Q14" s="448">
        <f t="shared" si="0"/>
        <v>5030.19726444142</v>
      </c>
    </row>
    <row r="15" spans="1:17" s="461" customFormat="1">
      <c r="A15" s="458" t="s">
        <v>556</v>
      </c>
      <c r="B15" s="459">
        <f ca="1">SUM(B4:B14)</f>
        <v>75822.917189815897</v>
      </c>
      <c r="C15" s="459">
        <f t="shared" ref="C15:Q15" ca="1" si="1">SUM(C4:C14)</f>
        <v>0</v>
      </c>
      <c r="D15" s="459">
        <f t="shared" ca="1" si="1"/>
        <v>88489.92573259685</v>
      </c>
      <c r="E15" s="459">
        <f t="shared" si="1"/>
        <v>2964.3886616944519</v>
      </c>
      <c r="F15" s="459">
        <f t="shared" ca="1" si="1"/>
        <v>86987.6688671874</v>
      </c>
      <c r="G15" s="459">
        <f t="shared" si="1"/>
        <v>80194.492044359635</v>
      </c>
      <c r="H15" s="459">
        <f t="shared" si="1"/>
        <v>14514.728056657485</v>
      </c>
      <c r="I15" s="459">
        <f t="shared" si="1"/>
        <v>0</v>
      </c>
      <c r="J15" s="459">
        <f t="shared" si="1"/>
        <v>1812.1697699974998</v>
      </c>
      <c r="K15" s="459">
        <f t="shared" si="1"/>
        <v>0</v>
      </c>
      <c r="L15" s="459">
        <f t="shared" ca="1" si="1"/>
        <v>0</v>
      </c>
      <c r="M15" s="459">
        <f t="shared" si="1"/>
        <v>4122.3427888010483</v>
      </c>
      <c r="N15" s="459">
        <f t="shared" ca="1" si="1"/>
        <v>9115.9013076496249</v>
      </c>
      <c r="O15" s="459">
        <f t="shared" si="1"/>
        <v>128.19333333333333</v>
      </c>
      <c r="P15" s="459">
        <f t="shared" si="1"/>
        <v>533.86666666666667</v>
      </c>
      <c r="Q15" s="459">
        <f t="shared" ca="1" si="1"/>
        <v>364686.59441875981</v>
      </c>
    </row>
    <row r="17" spans="1:17">
      <c r="A17" s="462" t="s">
        <v>557</v>
      </c>
      <c r="B17" s="766">
        <f ca="1">huishoudens!B10</f>
        <v>0.20487922557918073</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6760.9580788405883</v>
      </c>
      <c r="C22" s="449">
        <f t="shared" ref="C22:C32" ca="1" si="3">C4*$C$17</f>
        <v>0</v>
      </c>
      <c r="D22" s="449">
        <f t="shared" ref="D22:D32" si="4">D4*$D$17</f>
        <v>12006.949241079228</v>
      </c>
      <c r="E22" s="449">
        <f t="shared" ref="E22:E32" si="5">E4*$E$17</f>
        <v>407.66275488014566</v>
      </c>
      <c r="F22" s="449">
        <f t="shared" ref="F22:F32" si="6">F4*$F$17</f>
        <v>16367.360840622701</v>
      </c>
      <c r="G22" s="449">
        <f t="shared" ref="G22:G32" si="7">G4*$G$17</f>
        <v>0</v>
      </c>
      <c r="H22" s="449">
        <f t="shared" ref="H22:H32" si="8">H4*$H$17</f>
        <v>0</v>
      </c>
      <c r="I22" s="449">
        <f t="shared" ref="I22:I32" si="9">I4*$I$17</f>
        <v>0</v>
      </c>
      <c r="J22" s="449">
        <f t="shared" ref="J22:J32" si="10">J4*$J$17</f>
        <v>488.64127505773524</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36031.572190480401</v>
      </c>
    </row>
    <row r="23" spans="1:17">
      <c r="A23" s="448" t="s">
        <v>155</v>
      </c>
      <c r="B23" s="449">
        <f t="shared" ca="1" si="2"/>
        <v>4836.6184537338668</v>
      </c>
      <c r="C23" s="449">
        <f t="shared" ca="1" si="3"/>
        <v>0</v>
      </c>
      <c r="D23" s="449">
        <f t="shared" ca="1" si="4"/>
        <v>4467.1752382741233</v>
      </c>
      <c r="E23" s="449">
        <f t="shared" si="5"/>
        <v>124.04595946489813</v>
      </c>
      <c r="F23" s="449">
        <f t="shared" ca="1" si="6"/>
        <v>1196.9095695809026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10624.749221053791</v>
      </c>
    </row>
    <row r="24" spans="1:17">
      <c r="A24" s="448" t="s">
        <v>193</v>
      </c>
      <c r="B24" s="449">
        <f t="shared" ca="1" si="2"/>
        <v>154.98806096226653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154.98806096226653</v>
      </c>
    </row>
    <row r="25" spans="1:17">
      <c r="A25" s="448" t="s">
        <v>111</v>
      </c>
      <c r="B25" s="449">
        <f t="shared" ca="1" si="2"/>
        <v>881.42792892068894</v>
      </c>
      <c r="C25" s="449">
        <f t="shared" ca="1" si="3"/>
        <v>0</v>
      </c>
      <c r="D25" s="449">
        <f t="shared" si="4"/>
        <v>48.708606141231307</v>
      </c>
      <c r="E25" s="449">
        <f t="shared" si="5"/>
        <v>10.227120017623738</v>
      </c>
      <c r="F25" s="449">
        <f t="shared" si="6"/>
        <v>4917.2355009777857</v>
      </c>
      <c r="G25" s="449">
        <f t="shared" si="7"/>
        <v>0</v>
      </c>
      <c r="H25" s="449">
        <f t="shared" si="8"/>
        <v>0</v>
      </c>
      <c r="I25" s="449">
        <f t="shared" si="9"/>
        <v>0</v>
      </c>
      <c r="J25" s="449">
        <f t="shared" si="10"/>
        <v>136.01512124032632</v>
      </c>
      <c r="K25" s="449">
        <f t="shared" si="11"/>
        <v>0</v>
      </c>
      <c r="L25" s="449">
        <f t="shared" si="12"/>
        <v>0</v>
      </c>
      <c r="M25" s="449">
        <f t="shared" si="13"/>
        <v>0</v>
      </c>
      <c r="N25" s="449">
        <f t="shared" si="14"/>
        <v>0</v>
      </c>
      <c r="O25" s="449">
        <f t="shared" si="15"/>
        <v>0</v>
      </c>
      <c r="P25" s="450">
        <f t="shared" si="16"/>
        <v>0</v>
      </c>
      <c r="Q25" s="448">
        <f t="shared" ca="1" si="17"/>
        <v>5993.6142772976555</v>
      </c>
    </row>
    <row r="26" spans="1:17">
      <c r="A26" s="448" t="s">
        <v>643</v>
      </c>
      <c r="B26" s="449">
        <f t="shared" ca="1" si="2"/>
        <v>2550.9163542772085</v>
      </c>
      <c r="C26" s="449">
        <f t="shared" ca="1" si="3"/>
        <v>0</v>
      </c>
      <c r="D26" s="449">
        <f t="shared" si="4"/>
        <v>678.14112736644836</v>
      </c>
      <c r="E26" s="449">
        <f t="shared" si="5"/>
        <v>27.923259731757515</v>
      </c>
      <c r="F26" s="449">
        <f t="shared" si="6"/>
        <v>744.20167635764324</v>
      </c>
      <c r="G26" s="449">
        <f t="shared" si="7"/>
        <v>0</v>
      </c>
      <c r="H26" s="449">
        <f t="shared" si="8"/>
        <v>0</v>
      </c>
      <c r="I26" s="449">
        <f t="shared" si="9"/>
        <v>0</v>
      </c>
      <c r="J26" s="449">
        <f t="shared" si="10"/>
        <v>16.851702281053303</v>
      </c>
      <c r="K26" s="449">
        <f t="shared" si="11"/>
        <v>0</v>
      </c>
      <c r="L26" s="449">
        <f t="shared" si="12"/>
        <v>0</v>
      </c>
      <c r="M26" s="449">
        <f t="shared" si="13"/>
        <v>0</v>
      </c>
      <c r="N26" s="449">
        <f t="shared" si="14"/>
        <v>0</v>
      </c>
      <c r="O26" s="449">
        <f t="shared" si="15"/>
        <v>0</v>
      </c>
      <c r="P26" s="450">
        <f t="shared" si="16"/>
        <v>0</v>
      </c>
      <c r="Q26" s="448">
        <f t="shared" ca="1" si="17"/>
        <v>4018.0341200141106</v>
      </c>
    </row>
    <row r="27" spans="1:17" s="454" customFormat="1">
      <c r="A27" s="452" t="s">
        <v>562</v>
      </c>
      <c r="B27" s="760">
        <f t="shared" ca="1" si="2"/>
        <v>0.26411399160820992</v>
      </c>
      <c r="C27" s="453">
        <f t="shared" ca="1" si="3"/>
        <v>0</v>
      </c>
      <c r="D27" s="453">
        <f t="shared" si="4"/>
        <v>0.8929030690390668</v>
      </c>
      <c r="E27" s="453">
        <f t="shared" si="5"/>
        <v>103.05713211021549</v>
      </c>
      <c r="F27" s="453">
        <f t="shared" si="6"/>
        <v>0</v>
      </c>
      <c r="G27" s="453">
        <f t="shared" si="7"/>
        <v>20994.471672741754</v>
      </c>
      <c r="H27" s="453">
        <f t="shared" si="8"/>
        <v>3614.1672861077136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24712.853108020332</v>
      </c>
    </row>
    <row r="28" spans="1:17">
      <c r="A28" s="448" t="s">
        <v>552</v>
      </c>
      <c r="B28" s="449">
        <f t="shared" ca="1" si="2"/>
        <v>1.4765888536429106</v>
      </c>
      <c r="C28" s="449">
        <f t="shared" ca="1" si="3"/>
        <v>0</v>
      </c>
      <c r="D28" s="449">
        <f t="shared" si="4"/>
        <v>0</v>
      </c>
      <c r="E28" s="449">
        <f t="shared" si="5"/>
        <v>0</v>
      </c>
      <c r="F28" s="449">
        <f t="shared" si="6"/>
        <v>0</v>
      </c>
      <c r="G28" s="449">
        <f t="shared" si="7"/>
        <v>417.45770310226692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418.93429195590983</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347.89097542396308</v>
      </c>
      <c r="C32" s="449">
        <f t="shared" ca="1" si="3"/>
        <v>0</v>
      </c>
      <c r="D32" s="449">
        <f t="shared" si="4"/>
        <v>673.0978820544982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1020.9888574784613</v>
      </c>
    </row>
    <row r="33" spans="1:17" s="461" customFormat="1">
      <c r="A33" s="458" t="s">
        <v>556</v>
      </c>
      <c r="B33" s="459">
        <f ca="1">SUM(B22:B32)</f>
        <v>15534.540555003832</v>
      </c>
      <c r="C33" s="459">
        <f t="shared" ref="C33:Q33" ca="1" si="19">SUM(C22:C32)</f>
        <v>0</v>
      </c>
      <c r="D33" s="459">
        <f t="shared" ca="1" si="19"/>
        <v>17874.964997984567</v>
      </c>
      <c r="E33" s="459">
        <f t="shared" si="19"/>
        <v>672.91622620464045</v>
      </c>
      <c r="F33" s="459">
        <f t="shared" ca="1" si="19"/>
        <v>23225.707587539033</v>
      </c>
      <c r="G33" s="459">
        <f t="shared" si="19"/>
        <v>21411.929375844022</v>
      </c>
      <c r="H33" s="459">
        <f t="shared" si="19"/>
        <v>3614.1672861077136</v>
      </c>
      <c r="I33" s="459">
        <f t="shared" si="19"/>
        <v>0</v>
      </c>
      <c r="J33" s="459">
        <f t="shared" si="19"/>
        <v>641.50809857911486</v>
      </c>
      <c r="K33" s="459">
        <f t="shared" si="19"/>
        <v>0</v>
      </c>
      <c r="L33" s="459">
        <f t="shared" ca="1" si="19"/>
        <v>0</v>
      </c>
      <c r="M33" s="459">
        <f t="shared" si="19"/>
        <v>0</v>
      </c>
      <c r="N33" s="459">
        <f t="shared" ca="1" si="19"/>
        <v>0</v>
      </c>
      <c r="O33" s="459">
        <f t="shared" si="19"/>
        <v>0</v>
      </c>
      <c r="P33" s="459">
        <f t="shared" si="19"/>
        <v>0</v>
      </c>
      <c r="Q33" s="459">
        <f t="shared" ca="1" si="19"/>
        <v>82975.734127262913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1090.2333150273148</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3099.6451643640039</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1341</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3831.4285714285716</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5530.8784793913183</v>
      </c>
      <c r="C10" s="1012">
        <f>SUM(C4:C9)</f>
        <v>0</v>
      </c>
      <c r="D10" s="1012">
        <f t="shared" ref="D10:H10" si="0">SUM(D8:D9)</f>
        <v>0</v>
      </c>
      <c r="E10" s="1012">
        <f t="shared" si="0"/>
        <v>0</v>
      </c>
      <c r="F10" s="1012">
        <f t="shared" si="0"/>
        <v>0</v>
      </c>
      <c r="G10" s="1012">
        <f t="shared" si="0"/>
        <v>0</v>
      </c>
      <c r="H10" s="1012">
        <f t="shared" si="0"/>
        <v>0</v>
      </c>
      <c r="I10" s="1012">
        <f>SUM(I8:I9)</f>
        <v>0</v>
      </c>
      <c r="J10" s="1012">
        <f>SUM(J8:J9)</f>
        <v>3831.4285714285716</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0.20487922557918073</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0.20487922557918073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0.20487922557918073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0.20487922557918073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7122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3042</v>
      </c>
      <c r="C14" s="326"/>
      <c r="D14" s="326"/>
      <c r="E14" s="326"/>
      <c r="F14" s="326"/>
    </row>
    <row r="15" spans="1:6">
      <c r="A15" s="1282" t="s">
        <v>183</v>
      </c>
      <c r="B15" s="1283">
        <v>13682</v>
      </c>
      <c r="C15" s="326"/>
      <c r="D15" s="326"/>
      <c r="E15" s="326"/>
      <c r="F15" s="326"/>
    </row>
    <row r="16" spans="1:6">
      <c r="A16" s="1282" t="s">
        <v>6</v>
      </c>
      <c r="B16" s="1283">
        <v>2244</v>
      </c>
      <c r="C16" s="326"/>
      <c r="D16" s="326"/>
      <c r="E16" s="326"/>
      <c r="F16" s="326"/>
    </row>
    <row r="17" spans="1:6">
      <c r="A17" s="1282" t="s">
        <v>7</v>
      </c>
      <c r="B17" s="1283">
        <v>237</v>
      </c>
      <c r="C17" s="326"/>
      <c r="D17" s="326"/>
      <c r="E17" s="326"/>
      <c r="F17" s="326"/>
    </row>
    <row r="18" spans="1:6">
      <c r="A18" s="1282" t="s">
        <v>8</v>
      </c>
      <c r="B18" s="1283">
        <v>1311</v>
      </c>
      <c r="C18" s="326"/>
      <c r="D18" s="326"/>
      <c r="E18" s="326"/>
      <c r="F18" s="326"/>
    </row>
    <row r="19" spans="1:6">
      <c r="A19" s="1282" t="s">
        <v>9</v>
      </c>
      <c r="B19" s="1283">
        <v>1368</v>
      </c>
      <c r="C19" s="326"/>
      <c r="D19" s="326"/>
      <c r="E19" s="326"/>
      <c r="F19" s="326"/>
    </row>
    <row r="20" spans="1:6">
      <c r="A20" s="1282" t="s">
        <v>10</v>
      </c>
      <c r="B20" s="1283">
        <v>571</v>
      </c>
      <c r="C20" s="326"/>
      <c r="D20" s="326"/>
      <c r="E20" s="326"/>
      <c r="F20" s="326"/>
    </row>
    <row r="21" spans="1:6">
      <c r="A21" s="1282" t="s">
        <v>11</v>
      </c>
      <c r="B21" s="1283">
        <v>9777</v>
      </c>
      <c r="C21" s="326"/>
      <c r="D21" s="326"/>
      <c r="E21" s="326"/>
      <c r="F21" s="326"/>
    </row>
    <row r="22" spans="1:6">
      <c r="A22" s="1282" t="s">
        <v>12</v>
      </c>
      <c r="B22" s="1283">
        <v>23837</v>
      </c>
      <c r="C22" s="326"/>
      <c r="D22" s="326"/>
      <c r="E22" s="326"/>
      <c r="F22" s="326"/>
    </row>
    <row r="23" spans="1:6">
      <c r="A23" s="1282" t="s">
        <v>13</v>
      </c>
      <c r="B23" s="1283">
        <v>578</v>
      </c>
      <c r="C23" s="326"/>
      <c r="D23" s="326"/>
      <c r="E23" s="326"/>
      <c r="F23" s="326"/>
    </row>
    <row r="24" spans="1:6">
      <c r="A24" s="1282" t="s">
        <v>14</v>
      </c>
      <c r="B24" s="1283">
        <v>25</v>
      </c>
      <c r="C24" s="326"/>
      <c r="D24" s="326"/>
      <c r="E24" s="326"/>
      <c r="F24" s="326"/>
    </row>
    <row r="25" spans="1:6">
      <c r="A25" s="1282" t="s">
        <v>15</v>
      </c>
      <c r="B25" s="1283">
        <v>2281</v>
      </c>
      <c r="C25" s="326"/>
      <c r="D25" s="326"/>
      <c r="E25" s="326"/>
      <c r="F25" s="326"/>
    </row>
    <row r="26" spans="1:6">
      <c r="A26" s="1282" t="s">
        <v>16</v>
      </c>
      <c r="B26" s="1283">
        <v>127</v>
      </c>
      <c r="C26" s="326"/>
      <c r="D26" s="326"/>
      <c r="E26" s="326"/>
      <c r="F26" s="326"/>
    </row>
    <row r="27" spans="1:6">
      <c r="A27" s="1282" t="s">
        <v>17</v>
      </c>
      <c r="B27" s="1283">
        <v>599</v>
      </c>
      <c r="C27" s="326"/>
      <c r="D27" s="326"/>
      <c r="E27" s="326"/>
      <c r="F27" s="326"/>
    </row>
    <row r="28" spans="1:6" s="43" customFormat="1">
      <c r="A28" s="1284" t="s">
        <v>18</v>
      </c>
      <c r="B28" s="1285">
        <v>505951</v>
      </c>
      <c r="C28" s="332"/>
      <c r="D28" s="332"/>
      <c r="E28" s="332"/>
      <c r="F28" s="332"/>
    </row>
    <row r="29" spans="1:6">
      <c r="A29" s="1284" t="s">
        <v>978</v>
      </c>
      <c r="B29" s="1285">
        <v>259</v>
      </c>
      <c r="C29" s="332"/>
      <c r="D29" s="332"/>
      <c r="E29" s="332"/>
      <c r="F29" s="332"/>
    </row>
    <row r="30" spans="1:6">
      <c r="A30" s="1277" t="s">
        <v>979</v>
      </c>
      <c r="B30" s="1286">
        <v>57</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3</v>
      </c>
      <c r="F35" s="1283">
        <v>11589.907051259401</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36919.324307451199</v>
      </c>
      <c r="E38" s="1283">
        <v>2</v>
      </c>
      <c r="F38" s="1283">
        <v>11168.07559355</v>
      </c>
    </row>
    <row r="39" spans="1:6">
      <c r="A39" s="1282" t="s">
        <v>29</v>
      </c>
      <c r="B39" s="1282" t="s">
        <v>30</v>
      </c>
      <c r="C39" s="1283">
        <v>3552</v>
      </c>
      <c r="D39" s="1283">
        <v>65898384.454124101</v>
      </c>
      <c r="E39" s="1283">
        <v>6925</v>
      </c>
      <c r="F39" s="1283">
        <v>30348902.072723299</v>
      </c>
    </row>
    <row r="40" spans="1:6">
      <c r="A40" s="1282" t="s">
        <v>29</v>
      </c>
      <c r="B40" s="1282" t="s">
        <v>28</v>
      </c>
      <c r="C40" s="1283">
        <v>0</v>
      </c>
      <c r="D40" s="1283">
        <v>0</v>
      </c>
      <c r="E40" s="1283">
        <v>0</v>
      </c>
      <c r="F40" s="1283">
        <v>0</v>
      </c>
    </row>
    <row r="41" spans="1:6">
      <c r="A41" s="1282" t="s">
        <v>31</v>
      </c>
      <c r="B41" s="1282" t="s">
        <v>32</v>
      </c>
      <c r="C41" s="1283">
        <v>42</v>
      </c>
      <c r="D41" s="1283">
        <v>1167140.04956939</v>
      </c>
      <c r="E41" s="1283">
        <v>118</v>
      </c>
      <c r="F41" s="1283">
        <v>1240092.23085705</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4</v>
      </c>
      <c r="F44" s="1283">
        <v>34756.5843642404</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15</v>
      </c>
      <c r="D48" s="1283">
        <v>895326.09575772495</v>
      </c>
      <c r="E48" s="1283">
        <v>20</v>
      </c>
      <c r="F48" s="1283">
        <v>284818.27609133697</v>
      </c>
    </row>
    <row r="49" spans="1:6">
      <c r="A49" s="1282" t="s">
        <v>31</v>
      </c>
      <c r="B49" s="1282" t="s">
        <v>39</v>
      </c>
      <c r="C49" s="1283">
        <v>0</v>
      </c>
      <c r="D49" s="1283">
        <v>0</v>
      </c>
      <c r="E49" s="1283">
        <v>0</v>
      </c>
      <c r="F49" s="1283">
        <v>0</v>
      </c>
    </row>
    <row r="50" spans="1:6">
      <c r="A50" s="1282" t="s">
        <v>31</v>
      </c>
      <c r="B50" s="1282" t="s">
        <v>40</v>
      </c>
      <c r="C50" s="1283">
        <v>6</v>
      </c>
      <c r="D50" s="1283">
        <v>1659412.2292774401</v>
      </c>
      <c r="E50" s="1283">
        <v>14</v>
      </c>
      <c r="F50" s="1283">
        <v>10891162.6454063</v>
      </c>
    </row>
    <row r="51" spans="1:6">
      <c r="A51" s="1282" t="s">
        <v>41</v>
      </c>
      <c r="B51" s="1282" t="s">
        <v>42</v>
      </c>
      <c r="C51" s="1283">
        <v>0</v>
      </c>
      <c r="D51" s="1283">
        <v>0</v>
      </c>
      <c r="E51" s="1283">
        <v>135</v>
      </c>
      <c r="F51" s="1283">
        <v>3986465.2330398802</v>
      </c>
    </row>
    <row r="52" spans="1:6">
      <c r="A52" s="1282" t="s">
        <v>41</v>
      </c>
      <c r="B52" s="1282" t="s">
        <v>28</v>
      </c>
      <c r="C52" s="1283">
        <v>6</v>
      </c>
      <c r="D52" s="1283">
        <v>267330.05939074501</v>
      </c>
      <c r="E52" s="1283">
        <v>10</v>
      </c>
      <c r="F52" s="1283">
        <v>315717.80396129697</v>
      </c>
    </row>
    <row r="53" spans="1:6">
      <c r="A53" s="1282" t="s">
        <v>43</v>
      </c>
      <c r="B53" s="1282" t="s">
        <v>44</v>
      </c>
      <c r="C53" s="1283">
        <v>148</v>
      </c>
      <c r="D53" s="1283">
        <v>3332167.7329430599</v>
      </c>
      <c r="E53" s="1283">
        <v>286</v>
      </c>
      <c r="F53" s="1283">
        <v>1698029.53149836</v>
      </c>
    </row>
    <row r="54" spans="1:6">
      <c r="A54" s="1282" t="s">
        <v>45</v>
      </c>
      <c r="B54" s="1282" t="s">
        <v>46</v>
      </c>
      <c r="C54" s="1283">
        <v>0</v>
      </c>
      <c r="D54" s="1283">
        <v>0</v>
      </c>
      <c r="E54" s="1283">
        <v>1</v>
      </c>
      <c r="F54" s="1283">
        <v>756485</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21</v>
      </c>
      <c r="D57" s="1283">
        <v>497889.193727609</v>
      </c>
      <c r="E57" s="1283">
        <v>134</v>
      </c>
      <c r="F57" s="1283">
        <v>3718946.5692921202</v>
      </c>
    </row>
    <row r="58" spans="1:6">
      <c r="A58" s="1282" t="s">
        <v>48</v>
      </c>
      <c r="B58" s="1282" t="s">
        <v>50</v>
      </c>
      <c r="C58" s="1283">
        <v>17</v>
      </c>
      <c r="D58" s="1283">
        <v>846106.31434045394</v>
      </c>
      <c r="E58" s="1283">
        <v>28</v>
      </c>
      <c r="F58" s="1283">
        <v>430778.17183369503</v>
      </c>
    </row>
    <row r="59" spans="1:6">
      <c r="A59" s="1282" t="s">
        <v>48</v>
      </c>
      <c r="B59" s="1282" t="s">
        <v>51</v>
      </c>
      <c r="C59" s="1283">
        <v>52</v>
      </c>
      <c r="D59" s="1283">
        <v>1642481.11523981</v>
      </c>
      <c r="E59" s="1283">
        <v>148</v>
      </c>
      <c r="F59" s="1283">
        <v>4354132.2541264202</v>
      </c>
    </row>
    <row r="60" spans="1:6">
      <c r="A60" s="1282" t="s">
        <v>48</v>
      </c>
      <c r="B60" s="1282" t="s">
        <v>52</v>
      </c>
      <c r="C60" s="1283">
        <v>58</v>
      </c>
      <c r="D60" s="1283">
        <v>6010363.3994982</v>
      </c>
      <c r="E60" s="1283">
        <v>100</v>
      </c>
      <c r="F60" s="1283">
        <v>4998671.7198446803</v>
      </c>
    </row>
    <row r="61" spans="1:6">
      <c r="A61" s="1282" t="s">
        <v>48</v>
      </c>
      <c r="B61" s="1282" t="s">
        <v>53</v>
      </c>
      <c r="C61" s="1283">
        <v>144</v>
      </c>
      <c r="D61" s="1283">
        <v>8378480.3288299497</v>
      </c>
      <c r="E61" s="1283">
        <v>253</v>
      </c>
      <c r="F61" s="1283">
        <v>3061128.7582284398</v>
      </c>
    </row>
    <row r="62" spans="1:6">
      <c r="A62" s="1282" t="s">
        <v>48</v>
      </c>
      <c r="B62" s="1282" t="s">
        <v>54</v>
      </c>
      <c r="C62" s="1283">
        <v>5</v>
      </c>
      <c r="D62" s="1283">
        <v>2583092.5124596902</v>
      </c>
      <c r="E62" s="1283">
        <v>12</v>
      </c>
      <c r="F62" s="1283">
        <v>492637.67045845202</v>
      </c>
    </row>
    <row r="63" spans="1:6">
      <c r="A63" s="1282" t="s">
        <v>48</v>
      </c>
      <c r="B63" s="1282" t="s">
        <v>28</v>
      </c>
      <c r="C63" s="1283">
        <v>85</v>
      </c>
      <c r="D63" s="1283">
        <v>4559024.94338449</v>
      </c>
      <c r="E63" s="1283">
        <v>95</v>
      </c>
      <c r="F63" s="1283">
        <v>5209873.6165482802</v>
      </c>
    </row>
    <row r="64" spans="1:6">
      <c r="A64" s="1282" t="s">
        <v>55</v>
      </c>
      <c r="B64" s="1282" t="s">
        <v>56</v>
      </c>
      <c r="C64" s="1283">
        <v>0</v>
      </c>
      <c r="D64" s="1283">
        <v>0</v>
      </c>
      <c r="E64" s="1283">
        <v>0</v>
      </c>
      <c r="F64" s="1283">
        <v>0</v>
      </c>
    </row>
    <row r="65" spans="1:6">
      <c r="A65" s="1282" t="s">
        <v>55</v>
      </c>
      <c r="B65" s="1282" t="s">
        <v>28</v>
      </c>
      <c r="C65" s="1283">
        <v>0</v>
      </c>
      <c r="D65" s="1283">
        <v>0</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6</v>
      </c>
      <c r="F68" s="1286">
        <v>50641.430060025399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98388397</v>
      </c>
      <c r="E73" s="447"/>
      <c r="F73" s="326"/>
    </row>
    <row r="74" spans="1:6">
      <c r="A74" s="1282" t="s">
        <v>63</v>
      </c>
      <c r="B74" s="1282" t="s">
        <v>760</v>
      </c>
      <c r="C74" s="1296" t="s">
        <v>761</v>
      </c>
      <c r="D74" s="1297">
        <v>6121977.6105385469</v>
      </c>
      <c r="E74" s="447"/>
      <c r="F74" s="326"/>
    </row>
    <row r="75" spans="1:6">
      <c r="A75" s="1282" t="s">
        <v>64</v>
      </c>
      <c r="B75" s="1282" t="s">
        <v>758</v>
      </c>
      <c r="C75" s="1296" t="s">
        <v>762</v>
      </c>
      <c r="D75" s="1297">
        <v>19927790</v>
      </c>
      <c r="E75" s="447"/>
      <c r="F75" s="326"/>
    </row>
    <row r="76" spans="1:6">
      <c r="A76" s="1282" t="s">
        <v>64</v>
      </c>
      <c r="B76" s="1282" t="s">
        <v>760</v>
      </c>
      <c r="C76" s="1296" t="s">
        <v>763</v>
      </c>
      <c r="D76" s="1297">
        <v>833399.61053854693</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428826.77892290626</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1090.2333150273148</v>
      </c>
      <c r="C90" s="326"/>
      <c r="D90" s="326"/>
      <c r="E90" s="326"/>
      <c r="F90" s="326"/>
    </row>
    <row r="91" spans="1:6">
      <c r="A91" s="1282" t="s">
        <v>67</v>
      </c>
      <c r="B91" s="1283">
        <v>2650.8228126465287</v>
      </c>
      <c r="C91" s="326"/>
      <c r="D91" s="326"/>
      <c r="E91" s="326"/>
      <c r="F91" s="326"/>
    </row>
    <row r="92" spans="1:6">
      <c r="A92" s="1277" t="s">
        <v>68</v>
      </c>
      <c r="B92" s="1278">
        <v>448.82235171747521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2144</v>
      </c>
      <c r="C97" s="326"/>
      <c r="D97" s="326"/>
      <c r="E97" s="326"/>
      <c r="F97" s="326"/>
    </row>
    <row r="98" spans="1:6">
      <c r="A98" s="1282" t="s">
        <v>71</v>
      </c>
      <c r="B98" s="1283">
        <v>12</v>
      </c>
      <c r="C98" s="326"/>
      <c r="D98" s="326"/>
      <c r="E98" s="326"/>
      <c r="F98" s="326"/>
    </row>
    <row r="99" spans="1:6">
      <c r="A99" s="1282" t="s">
        <v>72</v>
      </c>
      <c r="B99" s="1283">
        <v>63</v>
      </c>
      <c r="C99" s="326"/>
      <c r="D99" s="326"/>
      <c r="E99" s="326"/>
      <c r="F99" s="326"/>
    </row>
    <row r="100" spans="1:6">
      <c r="A100" s="1282" t="s">
        <v>73</v>
      </c>
      <c r="B100" s="1283">
        <v>245</v>
      </c>
      <c r="C100" s="326"/>
      <c r="D100" s="326"/>
      <c r="E100" s="326"/>
      <c r="F100" s="326"/>
    </row>
    <row r="101" spans="1:6">
      <c r="A101" s="1282" t="s">
        <v>74</v>
      </c>
      <c r="B101" s="1283">
        <v>193</v>
      </c>
      <c r="C101" s="326"/>
      <c r="D101" s="326"/>
      <c r="E101" s="326"/>
      <c r="F101" s="326"/>
    </row>
    <row r="102" spans="1:6">
      <c r="A102" s="1282" t="s">
        <v>75</v>
      </c>
      <c r="B102" s="1283">
        <v>70</v>
      </c>
      <c r="C102" s="326"/>
      <c r="D102" s="326"/>
      <c r="E102" s="326"/>
      <c r="F102" s="326"/>
    </row>
    <row r="103" spans="1:6">
      <c r="A103" s="1282" t="s">
        <v>76</v>
      </c>
      <c r="B103" s="1283">
        <v>116</v>
      </c>
      <c r="C103" s="326"/>
      <c r="D103" s="326"/>
      <c r="E103" s="326"/>
      <c r="F103" s="326"/>
    </row>
    <row r="104" spans="1:6">
      <c r="A104" s="1282" t="s">
        <v>77</v>
      </c>
      <c r="B104" s="1283">
        <v>3477</v>
      </c>
      <c r="C104" s="326"/>
      <c r="D104" s="326"/>
      <c r="E104" s="326"/>
      <c r="F104" s="326"/>
    </row>
    <row r="105" spans="1:6">
      <c r="A105" s="1277" t="s">
        <v>78</v>
      </c>
      <c r="B105" s="128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13</v>
      </c>
      <c r="C123" s="1283">
        <v>1</v>
      </c>
      <c r="D123" s="326"/>
      <c r="E123" s="326"/>
      <c r="F123" s="326"/>
    </row>
    <row r="124" spans="1:6" s="43" customFormat="1">
      <c r="A124" s="1284" t="s">
        <v>88</v>
      </c>
      <c r="B124" s="1305">
        <v>1</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79</v>
      </c>
      <c r="C129" s="326"/>
      <c r="D129" s="326"/>
      <c r="E129" s="326"/>
      <c r="F129" s="326"/>
    </row>
    <row r="130" spans="1:6">
      <c r="A130" s="1282" t="s">
        <v>290</v>
      </c>
      <c r="B130" s="1283">
        <v>2</v>
      </c>
      <c r="C130" s="326"/>
      <c r="D130" s="326"/>
      <c r="E130" s="326"/>
      <c r="F130" s="326"/>
    </row>
    <row r="131" spans="1:6">
      <c r="A131" s="1282" t="s">
        <v>291</v>
      </c>
      <c r="B131" s="1283">
        <v>1</v>
      </c>
      <c r="C131" s="326"/>
      <c r="D131" s="326"/>
      <c r="E131" s="326"/>
      <c r="F131" s="326"/>
    </row>
    <row r="132" spans="1:6">
      <c r="A132" s="1277" t="s">
        <v>292</v>
      </c>
      <c r="B132" s="1278">
        <v>13</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75822.917189815911</v>
      </c>
      <c r="C3" s="43" t="s">
        <v>169</v>
      </c>
      <c r="D3" s="43"/>
      <c r="E3" s="156"/>
      <c r="F3" s="43"/>
      <c r="G3" s="43"/>
      <c r="H3" s="43"/>
      <c r="I3" s="43"/>
      <c r="J3" s="43"/>
      <c r="K3" s="96"/>
    </row>
    <row r="4" spans="1:11">
      <c r="A4" s="354" t="s">
        <v>170</v>
      </c>
      <c r="B4" s="49">
        <f>IF(ISERROR('SEAP template'!B78+'SEAP template'!C78),0,'SEAP template'!B78+'SEAP template'!C78)</f>
        <v>5530.8784793913183</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0.20487922557918073</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756.48500000000001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756.48500000000001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0.20487922557918073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154.98806096226653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30348.9020727233</v>
      </c>
      <c r="C5" s="17">
        <f>IF(ISERROR('Eigen informatie GS &amp; warmtenet'!B57),0,'Eigen informatie GS &amp; warmtenet'!B57)</f>
        <v>0</v>
      </c>
      <c r="D5" s="30">
        <f>(SUM(HH_hh_gas_kWh,HH_rest_gas_kWh)/1000)*0.902</f>
        <v>59440.342777619939</v>
      </c>
      <c r="E5" s="17">
        <f>B32*B41</f>
        <v>1795.8711668728884</v>
      </c>
      <c r="F5" s="17">
        <f>B36*B45</f>
        <v>61300.976931171164</v>
      </c>
      <c r="G5" s="18"/>
      <c r="H5" s="17"/>
      <c r="I5" s="17"/>
      <c r="J5" s="17">
        <f>B35*B44+C35*C44</f>
        <v>1380.3425849088567</v>
      </c>
      <c r="K5" s="17"/>
      <c r="L5" s="17"/>
      <c r="M5" s="17"/>
      <c r="N5" s="17">
        <f>B34*B43+C34*C43</f>
        <v>8859.405637107453</v>
      </c>
      <c r="O5" s="17">
        <f>B52*B53*B54</f>
        <v>125.06666666666666</v>
      </c>
      <c r="P5" s="17">
        <f>B60*B61*B62/1000-B60*B61*B62/1000/B63</f>
        <v>514.79999999999995</v>
      </c>
    </row>
    <row r="6" spans="1:16">
      <c r="A6" s="16" t="s">
        <v>621</v>
      </c>
      <c r="B6" s="768">
        <f>kWh_PV_kleiner_dan_10kW</f>
        <v>2650.8228126465287</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32999.724885369826</v>
      </c>
      <c r="C8" s="21">
        <f>C5</f>
        <v>0</v>
      </c>
      <c r="D8" s="21">
        <f>D5</f>
        <v>59440.342777619939</v>
      </c>
      <c r="E8" s="21">
        <f>E5</f>
        <v>1795.8711668728884</v>
      </c>
      <c r="F8" s="21">
        <f>F5</f>
        <v>61300.976931171164</v>
      </c>
      <c r="G8" s="21"/>
      <c r="H8" s="21"/>
      <c r="I8" s="21"/>
      <c r="J8" s="21">
        <f>J5</f>
        <v>1380.3425849088567</v>
      </c>
      <c r="K8" s="21"/>
      <c r="L8" s="21">
        <f>L5</f>
        <v>0</v>
      </c>
      <c r="M8" s="21">
        <f>M5</f>
        <v>0</v>
      </c>
      <c r="N8" s="21">
        <f>N5</f>
        <v>8859.405637107453</v>
      </c>
      <c r="O8" s="21">
        <f>O5</f>
        <v>125.06666666666666</v>
      </c>
      <c r="P8" s="21">
        <f>P5</f>
        <v>514.79999999999995</v>
      </c>
    </row>
    <row r="9" spans="1:16">
      <c r="B9" s="19"/>
      <c r="C9" s="19"/>
      <c r="D9" s="256"/>
      <c r="E9" s="19"/>
      <c r="F9" s="19"/>
      <c r="G9" s="19"/>
      <c r="H9" s="19"/>
      <c r="I9" s="19"/>
      <c r="J9" s="19"/>
      <c r="K9" s="19"/>
      <c r="L9" s="19"/>
      <c r="M9" s="19"/>
      <c r="N9" s="19"/>
      <c r="O9" s="19"/>
      <c r="P9" s="19"/>
    </row>
    <row r="10" spans="1:16">
      <c r="A10" s="24" t="s">
        <v>213</v>
      </c>
      <c r="B10" s="25">
        <f ca="1">'EF ele_warmte'!B12</f>
        <v>0.20487922557918073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6760.9580788405883</v>
      </c>
      <c r="C12" s="23">
        <f ca="1">C10*C8</f>
        <v>0</v>
      </c>
      <c r="D12" s="23">
        <f>D8*D10</f>
        <v>12006.949241079228</v>
      </c>
      <c r="E12" s="23">
        <f>E10*E8</f>
        <v>407.66275488014566</v>
      </c>
      <c r="F12" s="23">
        <f>F10*F8</f>
        <v>16367.360840622701</v>
      </c>
      <c r="G12" s="23"/>
      <c r="H12" s="23"/>
      <c r="I12" s="23"/>
      <c r="J12" s="23">
        <f>J10*J8</f>
        <v>488.64127505773524</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7122</v>
      </c>
      <c r="C26" s="36"/>
      <c r="D26" s="226"/>
    </row>
    <row r="27" spans="1:5" s="15" customFormat="1">
      <c r="A27" s="228" t="s">
        <v>701</v>
      </c>
      <c r="B27" s="37">
        <f>SUM(HH_hh_gas_aantal,HH_rest_gas_aantal)</f>
        <v>3552</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3374.4</v>
      </c>
      <c r="C31" s="34" t="s">
        <v>110</v>
      </c>
      <c r="D31" s="172"/>
    </row>
    <row r="32" spans="1:5">
      <c r="A32" s="169" t="s">
        <v>72</v>
      </c>
      <c r="B32" s="33">
        <f>IF((B21*($B$26-($B$27-0.05*$B$27)-$B$60))&lt;0,0,B21*($B$26-($B$27-0.05*$B$27)-$B$60))</f>
        <v>26.377449124093246</v>
      </c>
      <c r="C32" s="34" t="s">
        <v>110</v>
      </c>
      <c r="D32" s="172"/>
    </row>
    <row r="33" spans="1:6">
      <c r="A33" s="169" t="s">
        <v>73</v>
      </c>
      <c r="B33" s="33">
        <f>IF((B22*($B$26-($B$27-0.05*$B$27)-$B$60))&lt;0,0,B22*($B$26-($B$27-0.05*$B$27)-$B$60))</f>
        <v>755.9741031279242</v>
      </c>
      <c r="C33" s="34" t="s">
        <v>110</v>
      </c>
      <c r="D33" s="172"/>
    </row>
    <row r="34" spans="1:6">
      <c r="A34" s="169" t="s">
        <v>74</v>
      </c>
      <c r="B34" s="33">
        <f>IF((B24*($B$26-($B$27-0.05*$B$27)-$B$60))&lt;0,0,B24*($B$26-($B$27-0.05*$B$27)-$B$60))</f>
        <v>150.74922553926436</v>
      </c>
      <c r="C34" s="33">
        <f>B26*C24</f>
        <v>1456.2895721070545</v>
      </c>
      <c r="D34" s="231"/>
    </row>
    <row r="35" spans="1:6">
      <c r="A35" s="169" t="s">
        <v>76</v>
      </c>
      <c r="B35" s="33">
        <f>IF((B19*($B$26-($B$27-0.05*$B$27)-$B$60))&lt;0,0,B19*($B$26-($B$27-0.05*$B$27)-$B$60))</f>
        <v>78.504312869325148</v>
      </c>
      <c r="C35" s="33">
        <f>B35/2</f>
        <v>39.252156434662574</v>
      </c>
      <c r="D35" s="231"/>
    </row>
    <row r="36" spans="1:6">
      <c r="A36" s="169" t="s">
        <v>77</v>
      </c>
      <c r="B36" s="33">
        <f>IF((B18*($B$26-($B$27-0.05*$B$27)-$B$60))&lt;0,0,B18*($B$26-($B$27-0.05*$B$27)-$B$60))</f>
        <v>2708.994909339393</v>
      </c>
      <c r="C36" s="34" t="s">
        <v>110</v>
      </c>
      <c r="D36" s="172"/>
    </row>
    <row r="37" spans="1:6">
      <c r="A37" s="169" t="s">
        <v>78</v>
      </c>
      <c r="B37" s="33">
        <f>B60</f>
        <v>27</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80</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27</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22266.16876033209</v>
      </c>
      <c r="C5" s="17">
        <f>IF(ISERROR('Eigen informatie GS &amp; warmtenet'!B58),0,'Eigen informatie GS &amp; warmtenet'!B58)</f>
        <v>0</v>
      </c>
      <c r="D5" s="30">
        <f>SUM(D6:D12)</f>
        <v>22114.728902347142</v>
      </c>
      <c r="E5" s="17">
        <f>SUM(E6:E12)</f>
        <v>546.45797121100497</v>
      </c>
      <c r="F5" s="17">
        <f>SUM(F6:F12)</f>
        <v>4482.8073767075002</v>
      </c>
      <c r="G5" s="18"/>
      <c r="H5" s="17"/>
      <c r="I5" s="17"/>
      <c r="J5" s="17">
        <f>SUM(J6:J12)</f>
        <v>0</v>
      </c>
      <c r="K5" s="17"/>
      <c r="L5" s="17"/>
      <c r="M5" s="17"/>
      <c r="N5" s="17">
        <f>SUM(N6:N12)</f>
        <v>1035.7759924292882</v>
      </c>
      <c r="O5" s="17">
        <f>B38*B39*B40</f>
        <v>3.1266666666666669</v>
      </c>
      <c r="P5" s="17">
        <f>B46*B47*B48/1000-B46*B47*B48/1000/B49</f>
        <v>19.066666666666666</v>
      </c>
      <c r="R5" s="32"/>
    </row>
    <row r="6" spans="1:18">
      <c r="A6" s="32" t="s">
        <v>53</v>
      </c>
      <c r="B6" s="37">
        <f>B26</f>
        <v>3061.1287582284399</v>
      </c>
      <c r="C6" s="33"/>
      <c r="D6" s="37">
        <f>IF(ISERROR(TER_kantoor_gas_kWh/1000),0,TER_kantoor_gas_kWh/1000)*0.902</f>
        <v>7557.3892566046152</v>
      </c>
      <c r="E6" s="33">
        <f>$C$26*'E Balans VL '!I12/100/3.6*1000000</f>
        <v>107.15154824294812</v>
      </c>
      <c r="F6" s="33">
        <f>$C$26*('E Balans VL '!L12+'E Balans VL '!N12)/100/3.6*1000000</f>
        <v>464.13284153785611</v>
      </c>
      <c r="G6" s="34"/>
      <c r="H6" s="33"/>
      <c r="I6" s="33"/>
      <c r="J6" s="33">
        <f>$C$26*('E Balans VL '!D12+'E Balans VL '!E12)/100/3.6*1000000</f>
        <v>0</v>
      </c>
      <c r="K6" s="33"/>
      <c r="L6" s="33"/>
      <c r="M6" s="33"/>
      <c r="N6" s="33">
        <f>$C$26*'E Balans VL '!Y12/100/3.6*1000000</f>
        <v>23.661567194172804</v>
      </c>
      <c r="O6" s="33"/>
      <c r="P6" s="33"/>
      <c r="R6" s="32"/>
    </row>
    <row r="7" spans="1:18">
      <c r="A7" s="32" t="s">
        <v>52</v>
      </c>
      <c r="B7" s="37">
        <f t="shared" ref="B7:B12" si="0">B27</f>
        <v>4998.6717198446804</v>
      </c>
      <c r="C7" s="33"/>
      <c r="D7" s="37">
        <f>IF(ISERROR(TER_horeca_gas_kWh/1000),0,TER_horeca_gas_kWh/1000)*0.902</f>
        <v>5421.3477863473763</v>
      </c>
      <c r="E7" s="33">
        <f>$C$27*'E Balans VL '!I9/100/3.6*1000000</f>
        <v>281.99155114586443</v>
      </c>
      <c r="F7" s="33">
        <f>$C$27*('E Balans VL '!L9+'E Balans VL '!N9)/100/3.6*1000000</f>
        <v>870.79627660141728</v>
      </c>
      <c r="G7" s="34"/>
      <c r="H7" s="33"/>
      <c r="I7" s="33"/>
      <c r="J7" s="33">
        <f>$C$27*('E Balans VL '!D9+'E Balans VL '!E9)/100/3.6*1000000</f>
        <v>0</v>
      </c>
      <c r="K7" s="33"/>
      <c r="L7" s="33"/>
      <c r="M7" s="33"/>
      <c r="N7" s="33">
        <f>$C$27*'E Balans VL '!Y9/100/3.6*1000000</f>
        <v>0</v>
      </c>
      <c r="O7" s="33"/>
      <c r="P7" s="33"/>
      <c r="R7" s="32"/>
    </row>
    <row r="8" spans="1:18">
      <c r="A8" s="6" t="s">
        <v>51</v>
      </c>
      <c r="B8" s="37">
        <f t="shared" si="0"/>
        <v>4354.1322541264199</v>
      </c>
      <c r="C8" s="33"/>
      <c r="D8" s="37">
        <f>IF(ISERROR(TER_handel_gas_kWh/1000),0,TER_handel_gas_kWh/1000)*0.902</f>
        <v>1481.5179659463085</v>
      </c>
      <c r="E8" s="33">
        <f>$C$28*'E Balans VL '!I13/100/3.6*1000000</f>
        <v>22.353672619263925</v>
      </c>
      <c r="F8" s="33">
        <f>$C$28*('E Balans VL '!L13+'E Balans VL '!N13)/100/3.6*1000000</f>
        <v>671.33991533655376</v>
      </c>
      <c r="G8" s="34"/>
      <c r="H8" s="33"/>
      <c r="I8" s="33"/>
      <c r="J8" s="33">
        <f>$C$28*('E Balans VL '!D13+'E Balans VL '!E13)/100/3.6*1000000</f>
        <v>0</v>
      </c>
      <c r="K8" s="33"/>
      <c r="L8" s="33"/>
      <c r="M8" s="33"/>
      <c r="N8" s="33">
        <f>$C$28*'E Balans VL '!Y13/100/3.6*1000000</f>
        <v>2.0364808045931881</v>
      </c>
      <c r="O8" s="33"/>
      <c r="P8" s="33"/>
      <c r="R8" s="32"/>
    </row>
    <row r="9" spans="1:18">
      <c r="A9" s="32" t="s">
        <v>50</v>
      </c>
      <c r="B9" s="37">
        <f t="shared" si="0"/>
        <v>430.77817183369501</v>
      </c>
      <c r="C9" s="33"/>
      <c r="D9" s="37">
        <f>IF(ISERROR(TER_gezond_gas_kWh/1000),0,TER_gezond_gas_kWh/1000)*0.902</f>
        <v>763.18789553508952</v>
      </c>
      <c r="E9" s="33">
        <f>$C$29*'E Balans VL '!I10/100/3.6*1000000</f>
        <v>0.17855448433287938</v>
      </c>
      <c r="F9" s="33">
        <f>$C$29*('E Balans VL '!L10+'E Balans VL '!N10)/100/3.6*1000000</f>
        <v>106.09448553953153</v>
      </c>
      <c r="G9" s="34"/>
      <c r="H9" s="33"/>
      <c r="I9" s="33"/>
      <c r="J9" s="33">
        <f>$C$29*('E Balans VL '!D10+'E Balans VL '!E10)/100/3.6*1000000</f>
        <v>0</v>
      </c>
      <c r="K9" s="33"/>
      <c r="L9" s="33"/>
      <c r="M9" s="33"/>
      <c r="N9" s="33">
        <f>$C$29*'E Balans VL '!Y10/100/3.6*1000000</f>
        <v>3.7229896345164506</v>
      </c>
      <c r="O9" s="33"/>
      <c r="P9" s="33"/>
      <c r="R9" s="32"/>
    </row>
    <row r="10" spans="1:18">
      <c r="A10" s="32" t="s">
        <v>49</v>
      </c>
      <c r="B10" s="37">
        <f t="shared" si="0"/>
        <v>3718.9465692921203</v>
      </c>
      <c r="C10" s="33"/>
      <c r="D10" s="37">
        <f>IF(ISERROR(TER_ander_gas_kWh/1000),0,TER_ander_gas_kWh/1000)*0.902</f>
        <v>449.0960527423033</v>
      </c>
      <c r="E10" s="33">
        <f>$C$30*'E Balans VL '!I14/100/3.6*1000000</f>
        <v>22.670790042848314</v>
      </c>
      <c r="F10" s="33">
        <f>$C$30*('E Balans VL '!L14+'E Balans VL '!N14)/100/3.6*1000000</f>
        <v>985.94367930853537</v>
      </c>
      <c r="G10" s="34"/>
      <c r="H10" s="33"/>
      <c r="I10" s="33"/>
      <c r="J10" s="33">
        <f>$C$30*('E Balans VL '!D14+'E Balans VL '!E14)/100/3.6*1000000</f>
        <v>0</v>
      </c>
      <c r="K10" s="33"/>
      <c r="L10" s="33"/>
      <c r="M10" s="33"/>
      <c r="N10" s="33">
        <f>$C$30*'E Balans VL '!Y14/100/3.6*1000000</f>
        <v>857.13682370134461</v>
      </c>
      <c r="O10" s="33"/>
      <c r="P10" s="33"/>
      <c r="R10" s="32"/>
    </row>
    <row r="11" spans="1:18">
      <c r="A11" s="32" t="s">
        <v>54</v>
      </c>
      <c r="B11" s="37">
        <f t="shared" si="0"/>
        <v>492.63767045845202</v>
      </c>
      <c r="C11" s="33"/>
      <c r="D11" s="37">
        <f>IF(ISERROR(TER_onderwijs_gas_kWh/1000),0,TER_onderwijs_gas_kWh/1000)*0.902</f>
        <v>2329.9494462386406</v>
      </c>
      <c r="E11" s="33">
        <f>$C$31*'E Balans VL '!I11/100/3.6*1000000</f>
        <v>0.37541555680383665</v>
      </c>
      <c r="F11" s="33">
        <f>$C$31*('E Balans VL '!L11+'E Balans VL '!N11)/100/3.6*1000000</f>
        <v>356.49961601139131</v>
      </c>
      <c r="G11" s="34"/>
      <c r="H11" s="33"/>
      <c r="I11" s="33"/>
      <c r="J11" s="33">
        <f>$C$31*('E Balans VL '!D11+'E Balans VL '!E11)/100/3.6*1000000</f>
        <v>0</v>
      </c>
      <c r="K11" s="33"/>
      <c r="L11" s="33"/>
      <c r="M11" s="33"/>
      <c r="N11" s="33">
        <f>$C$31*'E Balans VL '!Y11/100/3.6*1000000</f>
        <v>1.4519209530988753</v>
      </c>
      <c r="O11" s="33"/>
      <c r="P11" s="33"/>
      <c r="R11" s="32"/>
    </row>
    <row r="12" spans="1:18">
      <c r="A12" s="32" t="s">
        <v>255</v>
      </c>
      <c r="B12" s="37">
        <f t="shared" si="0"/>
        <v>5209.8736165482806</v>
      </c>
      <c r="C12" s="33"/>
      <c r="D12" s="37">
        <f>IF(ISERROR(TER_rest_gas_kWh/1000),0,TER_rest_gas_kWh/1000)*0.902</f>
        <v>4112.2404989328106</v>
      </c>
      <c r="E12" s="33">
        <f>$C$32*'E Balans VL '!I8/100/3.6*1000000</f>
        <v>111.73643911894347</v>
      </c>
      <c r="F12" s="33">
        <f>$C$32*('E Balans VL '!L8+'E Balans VL '!N8)/100/3.6*1000000</f>
        <v>1028.0005623722141</v>
      </c>
      <c r="G12" s="34"/>
      <c r="H12" s="33"/>
      <c r="I12" s="33"/>
      <c r="J12" s="33">
        <f>$C$32*('E Balans VL '!D8+'E Balans VL '!E8)/100/3.6*1000000</f>
        <v>0</v>
      </c>
      <c r="K12" s="33"/>
      <c r="L12" s="33"/>
      <c r="M12" s="33"/>
      <c r="N12" s="33">
        <f>$C$32*'E Balans VL '!Y8/100/3.6*1000000</f>
        <v>147.76621014156225</v>
      </c>
      <c r="O12" s="33"/>
      <c r="P12" s="33"/>
      <c r="R12" s="32"/>
    </row>
    <row r="13" spans="1:18">
      <c r="A13" s="16" t="s">
        <v>489</v>
      </c>
      <c r="B13" s="244">
        <f ca="1">'lokale energieproductie'!N38+'lokale energieproductie'!N31</f>
        <v>1341</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-3831.4285714285716</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23607.16876033209</v>
      </c>
      <c r="C16" s="21">
        <f ca="1">C5+C13+C14</f>
        <v>0</v>
      </c>
      <c r="D16" s="21">
        <f t="shared" ref="D16:N16" ca="1" si="1">MAX((D5+D13+D14),0)</f>
        <v>22114.728902347142</v>
      </c>
      <c r="E16" s="21">
        <f t="shared" si="1"/>
        <v>546.45797121100497</v>
      </c>
      <c r="F16" s="21">
        <f t="shared" ca="1" si="1"/>
        <v>4482.8073767075002</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0.20487922557918073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4836.6184537338668</v>
      </c>
      <c r="C20" s="23">
        <f t="shared" ref="C20:P20" ca="1" si="2">C16*C18</f>
        <v>0</v>
      </c>
      <c r="D20" s="23">
        <f t="shared" ca="1" si="2"/>
        <v>4467.1752382741233</v>
      </c>
      <c r="E20" s="23">
        <f t="shared" si="2"/>
        <v>124.04595946489813</v>
      </c>
      <c r="F20" s="23">
        <f t="shared" ca="1" si="2"/>
        <v>1196.9095695809026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3061.1287582284399</v>
      </c>
      <c r="C26" s="39">
        <f>IF(ISERROR(B26*3.6/1000000/'E Balans VL '!Z12*100),0,B26*3.6/1000000/'E Balans VL '!Z12*100)</f>
        <v>6.4416378216992407E-2</v>
      </c>
      <c r="D26" s="234" t="s">
        <v>706</v>
      </c>
      <c r="F26" s="6"/>
    </row>
    <row r="27" spans="1:18">
      <c r="A27" s="229" t="s">
        <v>52</v>
      </c>
      <c r="B27" s="33">
        <f>IF(ISERROR(TER_horeca_ele_kWh/1000),0,TER_horeca_ele_kWh/1000)</f>
        <v>4998.6717198446804</v>
      </c>
      <c r="C27" s="39">
        <f>IF(ISERROR(B27*3.6/1000000/'E Balans VL '!Z9*100),0,B27*3.6/1000000/'E Balans VL '!Z9*100)</f>
        <v>0.42322348838179241</v>
      </c>
      <c r="D27" s="234" t="s">
        <v>706</v>
      </c>
      <c r="F27" s="6"/>
    </row>
    <row r="28" spans="1:18">
      <c r="A28" s="169" t="s">
        <v>51</v>
      </c>
      <c r="B28" s="33">
        <f>IF(ISERROR(TER_handel_ele_kWh/1000),0,TER_handel_ele_kWh/1000)</f>
        <v>4354.1322541264199</v>
      </c>
      <c r="C28" s="39">
        <f>IF(ISERROR(B28*3.6/1000000/'E Balans VL '!Z13*100),0,B28*3.6/1000000/'E Balans VL '!Z13*100)</f>
        <v>0.12054354937023695</v>
      </c>
      <c r="D28" s="234" t="s">
        <v>706</v>
      </c>
      <c r="F28" s="6"/>
    </row>
    <row r="29" spans="1:18">
      <c r="A29" s="229" t="s">
        <v>50</v>
      </c>
      <c r="B29" s="33">
        <f>IF(ISERROR(TER_gezond_ele_kWh/1000),0,TER_gezond_ele_kWh/1000)</f>
        <v>430.77817183369501</v>
      </c>
      <c r="C29" s="39">
        <f>IF(ISERROR(B29*3.6/1000000/'E Balans VL '!Z10*100),0,B29*3.6/1000000/'E Balans VL '!Z10*100)</f>
        <v>5.5996386605544221E-2</v>
      </c>
      <c r="D29" s="234" t="s">
        <v>706</v>
      </c>
      <c r="F29" s="6"/>
    </row>
    <row r="30" spans="1:18">
      <c r="A30" s="229" t="s">
        <v>49</v>
      </c>
      <c r="B30" s="33">
        <f>IF(ISERROR(TER_ander_ele_kWh/1000),0,TER_ander_ele_kWh/1000)</f>
        <v>3718.9465692921203</v>
      </c>
      <c r="C30" s="39">
        <f>IF(ISERROR(B30*3.6/1000000/'E Balans VL '!Z14*100),0,B30*3.6/1000000/'E Balans VL '!Z14*100)</f>
        <v>0.28825246446552183</v>
      </c>
      <c r="D30" s="234" t="s">
        <v>706</v>
      </c>
      <c r="F30" s="6"/>
    </row>
    <row r="31" spans="1:18">
      <c r="A31" s="229" t="s">
        <v>54</v>
      </c>
      <c r="B31" s="33">
        <f>IF(ISERROR(TER_onderwijs_ele_kWh/1000),0,TER_onderwijs_ele_kWh/1000)</f>
        <v>492.63767045845202</v>
      </c>
      <c r="C31" s="39">
        <f>IF(ISERROR(B31*3.6/1000000/'E Balans VL '!Z11*100),0,B31*3.6/1000000/'E Balans VL '!Z11*100)</f>
        <v>9.4249980726963667E-2</v>
      </c>
      <c r="D31" s="234" t="s">
        <v>706</v>
      </c>
    </row>
    <row r="32" spans="1:18">
      <c r="A32" s="229" t="s">
        <v>255</v>
      </c>
      <c r="B32" s="33">
        <f>IF(ISERROR(TER_rest_ele_kWh/1000),0,TER_rest_ele_kWh/1000)</f>
        <v>5209.8736165482806</v>
      </c>
      <c r="C32" s="39">
        <f>IF(ISERROR(B32*3.6/1000000/'E Balans VL '!Z8*100),0,B32*3.6/1000000/'E Balans VL '!Z8*100)</f>
        <v>4.295940871147326E-2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2</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12450.829736718928</v>
      </c>
      <c r="C5" s="17">
        <f>IF(ISERROR('Eigen informatie GS &amp; warmtenet'!B59),0,'Eigen informatie GS &amp; warmtenet'!B59)</f>
        <v>0</v>
      </c>
      <c r="D5" s="30">
        <f>SUM(D6:D15)</f>
        <v>3357.1342938933085</v>
      </c>
      <c r="E5" s="17">
        <f>SUM(E6:E15)</f>
        <v>123.00995476545161</v>
      </c>
      <c r="F5" s="17">
        <f>SUM(F6:F15)</f>
        <v>2787.2721960960421</v>
      </c>
      <c r="G5" s="18"/>
      <c r="H5" s="17"/>
      <c r="I5" s="17"/>
      <c r="J5" s="17">
        <f>SUM(J6:J15)</f>
        <v>47.603678760037582</v>
      </c>
      <c r="K5" s="17"/>
      <c r="L5" s="17"/>
      <c r="M5" s="17"/>
      <c r="N5" s="17">
        <f>SUM(N6:N15)</f>
        <v>256.49567054217175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34.756584364240396</v>
      </c>
      <c r="C8" s="33"/>
      <c r="D8" s="37">
        <f>IF( ISERROR(IND_metaal_Gas_kWH/1000),0,IND_metaal_Gas_kWH/1000)*0.902</f>
        <v>0</v>
      </c>
      <c r="E8" s="33">
        <f>C30*'E Balans VL '!I18/100/3.6*1000000</f>
        <v>0.24422684963503119</v>
      </c>
      <c r="F8" s="33">
        <f>C30*'E Balans VL '!L18/100/3.6*1000000+C30*'E Balans VL '!N18/100/3.6*1000000</f>
        <v>3.8160696171600117</v>
      </c>
      <c r="G8" s="34"/>
      <c r="H8" s="33"/>
      <c r="I8" s="33"/>
      <c r="J8" s="40">
        <f>C30*'E Balans VL '!D18/100/3.6*1000000+C30*'E Balans VL '!E18/100/3.6*1000000</f>
        <v>0.71710324949025528</v>
      </c>
      <c r="K8" s="33"/>
      <c r="L8" s="33"/>
      <c r="M8" s="33"/>
      <c r="N8" s="33">
        <f>C30*'E Balans VL '!Y18/100/3.6*1000000</f>
        <v>0.13027018136369398</v>
      </c>
      <c r="O8" s="33"/>
      <c r="P8" s="33"/>
      <c r="R8" s="32"/>
    </row>
    <row r="9" spans="1:18">
      <c r="A9" s="6" t="s">
        <v>32</v>
      </c>
      <c r="B9" s="37">
        <f t="shared" si="0"/>
        <v>1240.09223085705</v>
      </c>
      <c r="C9" s="33"/>
      <c r="D9" s="37">
        <f>IF( ISERROR(IND_andere_gas_kWh/1000),0,IND_andere_gas_kWh/1000)*0.902</f>
        <v>1052.7603247115896</v>
      </c>
      <c r="E9" s="33">
        <f>C31*'E Balans VL '!I19/100/3.6*1000000</f>
        <v>20.828868178731085</v>
      </c>
      <c r="F9" s="33">
        <f>C31*'E Balans VL '!L19/100/3.6*1000000+C31*'E Balans VL '!N19/100/3.6*1000000</f>
        <v>969.43347570437163</v>
      </c>
      <c r="G9" s="34"/>
      <c r="H9" s="33"/>
      <c r="I9" s="33"/>
      <c r="J9" s="40">
        <f>C31*'E Balans VL '!D19/100/3.6*1000000+C31*'E Balans VL '!E19/100/3.6*1000000</f>
        <v>0.11184537245185563</v>
      </c>
      <c r="K9" s="33"/>
      <c r="L9" s="33"/>
      <c r="M9" s="33"/>
      <c r="N9" s="33">
        <f>C31*'E Balans VL '!Y19/100/3.6*1000000</f>
        <v>91.910729834803575</v>
      </c>
      <c r="O9" s="33"/>
      <c r="P9" s="33"/>
      <c r="R9" s="32"/>
    </row>
    <row r="10" spans="1:18">
      <c r="A10" s="6" t="s">
        <v>40</v>
      </c>
      <c r="B10" s="37">
        <f t="shared" si="0"/>
        <v>10891.162645406301</v>
      </c>
      <c r="C10" s="33"/>
      <c r="D10" s="37">
        <f>IF( ISERROR(IND_voed_gas_kWh/1000),0,IND_voed_gas_kWh/1000)*0.902</f>
        <v>1496.7898308082508</v>
      </c>
      <c r="E10" s="33">
        <f>C32*'E Balans VL '!I20/100/3.6*1000000</f>
        <v>99.366442154267375</v>
      </c>
      <c r="F10" s="33">
        <f>C32*'E Balans VL '!L20/100/3.6*1000000+C32*'E Balans VL '!N20/100/3.6*1000000</f>
        <v>1757.0851903357234</v>
      </c>
      <c r="G10" s="34"/>
      <c r="H10" s="33"/>
      <c r="I10" s="33"/>
      <c r="J10" s="40">
        <f>C32*'E Balans VL '!D20/100/3.6*1000000+C32*'E Balans VL '!E20/100/3.6*1000000</f>
        <v>44.856948365654397</v>
      </c>
      <c r="K10" s="33"/>
      <c r="L10" s="33"/>
      <c r="M10" s="33"/>
      <c r="N10" s="33">
        <f>C32*'E Balans VL '!Y20/100/3.6*1000000</f>
        <v>159.32912157951904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284.818276091337</v>
      </c>
      <c r="C15" s="33"/>
      <c r="D15" s="37">
        <f>IF( ISERROR(IND_rest_gas_kWh/1000),0,IND_rest_gas_kWh/1000)*0.902</f>
        <v>807.58413837346791</v>
      </c>
      <c r="E15" s="33">
        <f>C37*'E Balans VL '!I15/100/3.6*1000000</f>
        <v>2.5704175828181302</v>
      </c>
      <c r="F15" s="33">
        <f>C37*'E Balans VL '!L15/100/3.6*1000000+C37*'E Balans VL '!N15/100/3.6*1000000</f>
        <v>56.93746043878717</v>
      </c>
      <c r="G15" s="34"/>
      <c r="H15" s="33"/>
      <c r="I15" s="33"/>
      <c r="J15" s="40">
        <f>C37*'E Balans VL '!D15/100/3.6*1000000+C37*'E Balans VL '!E15/100/3.6*1000000</f>
        <v>1.9177817724410722</v>
      </c>
      <c r="K15" s="33"/>
      <c r="L15" s="33"/>
      <c r="M15" s="33"/>
      <c r="N15" s="33">
        <f>C37*'E Balans VL '!Y15/100/3.6*1000000</f>
        <v>5.1255489464854032</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12450.829736718928</v>
      </c>
      <c r="C18" s="21">
        <f>C5+C16</f>
        <v>0</v>
      </c>
      <c r="D18" s="21">
        <f>MAX((D5+D16),0)</f>
        <v>3357.1342938933085</v>
      </c>
      <c r="E18" s="21">
        <f>MAX((E5+E16),0)</f>
        <v>123.00995476545161</v>
      </c>
      <c r="F18" s="21">
        <f>MAX((F5+F16),0)</f>
        <v>2787.2721960960421</v>
      </c>
      <c r="G18" s="21"/>
      <c r="H18" s="21"/>
      <c r="I18" s="21"/>
      <c r="J18" s="21">
        <f>MAX((J5+J16),0)</f>
        <v>47.603678760037582</v>
      </c>
      <c r="K18" s="21"/>
      <c r="L18" s="21">
        <f>MAX((L5+L16),0)</f>
        <v>0</v>
      </c>
      <c r="M18" s="21"/>
      <c r="N18" s="21">
        <f>MAX((N5+N16),0)</f>
        <v>256.49567054217175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0.20487922557918073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2550.9163542772085</v>
      </c>
      <c r="C22" s="23">
        <f ca="1">C18*C20</f>
        <v>0</v>
      </c>
      <c r="D22" s="23">
        <f>D18*D20</f>
        <v>678.14112736644836</v>
      </c>
      <c r="E22" s="23">
        <f>E18*E20</f>
        <v>27.923259731757515</v>
      </c>
      <c r="F22" s="23">
        <f>F18*F20</f>
        <v>744.20167635764324</v>
      </c>
      <c r="G22" s="23"/>
      <c r="H22" s="23"/>
      <c r="I22" s="23"/>
      <c r="J22" s="23">
        <f>J18*J20</f>
        <v>16.851702281053303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34.756584364240396</v>
      </c>
      <c r="C30" s="39">
        <f>IF(ISERROR(B30*3.6/1000000/'E Balans VL '!Z18*100),0,B30*3.6/1000000/'E Balans VL '!Z18*100)</f>
        <v>2.3137670452764423E-3</v>
      </c>
      <c r="D30" s="234" t="s">
        <v>706</v>
      </c>
    </row>
    <row r="31" spans="1:18">
      <c r="A31" s="6" t="s">
        <v>32</v>
      </c>
      <c r="B31" s="37">
        <f>IF( ISERROR(IND_ander_ele_kWh/1000),0,IND_ander_ele_kWh/1000)</f>
        <v>1240.09223085705</v>
      </c>
      <c r="C31" s="39">
        <f>IF(ISERROR(B31*3.6/1000000/'E Balans VL '!Z19*100),0,B31*3.6/1000000/'E Balans VL '!Z19*100)</f>
        <v>5.4968374174290832E-2</v>
      </c>
      <c r="D31" s="234" t="s">
        <v>706</v>
      </c>
    </row>
    <row r="32" spans="1:18">
      <c r="A32" s="169" t="s">
        <v>40</v>
      </c>
      <c r="B32" s="37">
        <f>IF( ISERROR(IND_voed_ele_kWh/1000),0,IND_voed_ele_kWh/1000)</f>
        <v>10891.162645406301</v>
      </c>
      <c r="C32" s="39">
        <f>IF(ISERROR(B32*3.6/1000000/'E Balans VL '!Z20*100),0,B32*3.6/1000000/'E Balans VL '!Z20*100)</f>
        <v>0.36379607505860423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284.818276091337</v>
      </c>
      <c r="C37" s="39">
        <f>IF(ISERROR(B37*3.6/1000000/'E Balans VL '!Z15*100),0,B37*3.6/1000000/'E Balans VL '!Z15*100)</f>
        <v>2.1185839654568445E-3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4302.1830370011767</v>
      </c>
      <c r="C5" s="17">
        <f>'Eigen informatie GS &amp; warmtenet'!B60</f>
        <v>0</v>
      </c>
      <c r="D5" s="30">
        <f>IF(ISERROR(SUM(LB_lb_gas_kWh,LB_rest_gas_kWh)/1000),0,SUM(LB_lb_gas_kWh,LB_rest_gas_kWh)/1000)*0.902</f>
        <v>241.13171357045201</v>
      </c>
      <c r="E5" s="17">
        <f>B17*'E Balans VL '!I25/3.6*1000000/100</f>
        <v>45.053392148122192</v>
      </c>
      <c r="F5" s="17">
        <f>B17*('E Balans VL '!L25/3.6*1000000+'E Balans VL '!N25/3.6*1000000)/100</f>
        <v>18416.61236321268</v>
      </c>
      <c r="G5" s="18"/>
      <c r="H5" s="17"/>
      <c r="I5" s="17"/>
      <c r="J5" s="17">
        <f>('E Balans VL '!D25+'E Balans VL '!E25)/3.6*1000000*landbouw!B17/100</f>
        <v>384.22350632860542</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4302.1830370011767</v>
      </c>
      <c r="C8" s="21">
        <f>C5+C6</f>
        <v>0</v>
      </c>
      <c r="D8" s="21">
        <f>MAX((D5+D6),0)</f>
        <v>241.13171357045201</v>
      </c>
      <c r="E8" s="21">
        <f>MAX((E5+E6),0)</f>
        <v>45.053392148122192</v>
      </c>
      <c r="F8" s="21">
        <f>MAX((F5+F6),0)</f>
        <v>18416.61236321268</v>
      </c>
      <c r="G8" s="21"/>
      <c r="H8" s="21"/>
      <c r="I8" s="21"/>
      <c r="J8" s="21">
        <f>MAX((J5+J6),0)</f>
        <v>384.22350632860542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0.20487922557918073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881.42792892068894</v>
      </c>
      <c r="C12" s="23">
        <f ca="1">C8*C10</f>
        <v>0</v>
      </c>
      <c r="D12" s="23">
        <f>D8*D10</f>
        <v>48.708606141231307</v>
      </c>
      <c r="E12" s="23">
        <f>E8*E10</f>
        <v>10.227120017623738</v>
      </c>
      <c r="F12" s="23">
        <f>F8*F10</f>
        <v>4917.2355009777857</v>
      </c>
      <c r="G12" s="23"/>
      <c r="H12" s="23"/>
      <c r="I12" s="23"/>
      <c r="J12" s="23">
        <f>J8*J10</f>
        <v>136.01512124032632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0.66218901687413978</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543.23824160200968</v>
      </c>
      <c r="C26" s="244">
        <f>B26*'GWP N2O_CH4'!B5</f>
        <v>11408.003073642203</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312.0968257574749</v>
      </c>
      <c r="C27" s="244">
        <f>B27*'GWP N2O_CH4'!B5</f>
        <v>6554.0333409069726</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19.513655619003167</v>
      </c>
      <c r="C28" s="244">
        <f>B28*'GWP N2O_CH4'!B4</f>
        <v>6049.2332418909818</v>
      </c>
      <c r="D28" s="50"/>
    </row>
    <row r="29" spans="1:4">
      <c r="A29" s="41" t="s">
        <v>272</v>
      </c>
      <c r="B29" s="244">
        <f>B34*'ha_N2O bodem landbouw'!B4</f>
        <v>27.369063716790471</v>
      </c>
      <c r="C29" s="244">
        <f>B29*'GWP N2O_CH4'!B4</f>
        <v>8484.4097522050452</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4.5230972361823985E-3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4.6408334817826181E-6</v>
      </c>
      <c r="C5" s="435" t="s">
        <v>210</v>
      </c>
      <c r="D5" s="420">
        <f>SUM(D6:D11)</f>
        <v>1.5913124002676439E-5</v>
      </c>
      <c r="E5" s="420">
        <f>SUM(E6:E11)</f>
        <v>1.6343862361091442E-3</v>
      </c>
      <c r="F5" s="433" t="s">
        <v>210</v>
      </c>
      <c r="G5" s="420">
        <f>SUM(G6:G11)</f>
        <v>0.28307152817179893</v>
      </c>
      <c r="H5" s="420">
        <f>SUM(H6:H11)</f>
        <v>5.2253021003966942E-2</v>
      </c>
      <c r="I5" s="435" t="s">
        <v>210</v>
      </c>
      <c r="J5" s="435" t="s">
        <v>210</v>
      </c>
      <c r="K5" s="435" t="s">
        <v>210</v>
      </c>
      <c r="L5" s="435" t="s">
        <v>210</v>
      </c>
      <c r="M5" s="420">
        <f>SUM(M6:M11)</f>
        <v>1.4599437159398251E-2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3.7389066063152974E-6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1.1838204514481606E-5</v>
      </c>
      <c r="E6" s="423">
        <f>vkm_GW_PW*SUMIFS(TableVerdeelsleutelVkm[LPG],TableVerdeelsleutelVkm[Voertuigtype],"Lichte voertuigen")*SUMIFS(TableECFTransport[EnergieConsumptieFactor (PJ per km)],TableECFTransport[Index],CONCATENATE($A6,"_LPG_LPG"))</f>
        <v>1.2336438510428826E-3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0.16432166849702304</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3.9420413459649736E-2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8.8931696970007482E-3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1.2730996334513675E-7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5.7388424129762625E-2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1.5537905113407161E-6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2.4723171757878347E-3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7.5728589907063855E-7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4.0749194881948321E-6</v>
      </c>
      <c r="E8" s="423">
        <f>vkm_NGW_PW*SUMIFS(TableVerdeelsleutelVkm[LPG],TableVerdeelsleutelVkm[Voertuigtype],"Lichte voertuigen")*SUMIFS(TableECFTransport[EnergieConsumptieFactor (PJ per km)],TableECFTransport[Index],CONCATENATE($A8,"_LPG_LPG"))</f>
        <v>4.0074238506626169E-4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5.0540000130438925E-2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1.2830798442252808E-2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2.76776008314951E-3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1.7331013051545623E-8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1.0821435414574351E-2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2.5531155305788692E-7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4.6619020346016046E-4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1.2891204116062829</v>
      </c>
      <c r="C14" s="21"/>
      <c r="D14" s="21">
        <f t="shared" ref="D14:M14" si="0">((D5)*10^9/3600)+D12</f>
        <v>4.4203122229656771</v>
      </c>
      <c r="E14" s="21">
        <f t="shared" si="0"/>
        <v>453.99617669698455</v>
      </c>
      <c r="F14" s="21"/>
      <c r="G14" s="21">
        <f t="shared" si="0"/>
        <v>78630.980047721925</v>
      </c>
      <c r="H14" s="21">
        <f t="shared" si="0"/>
        <v>14514.728056657485</v>
      </c>
      <c r="I14" s="21"/>
      <c r="J14" s="21"/>
      <c r="K14" s="21"/>
      <c r="L14" s="21"/>
      <c r="M14" s="21">
        <f t="shared" si="0"/>
        <v>4055.3992109439591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0.20487922557918073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0.26411399160820992</v>
      </c>
      <c r="C18" s="23"/>
      <c r="D18" s="23">
        <f t="shared" ref="D18:M18" si="1">D14*D16</f>
        <v>0.8929030690390668</v>
      </c>
      <c r="E18" s="23">
        <f t="shared" si="1"/>
        <v>103.05713211021549</v>
      </c>
      <c r="F18" s="23"/>
      <c r="G18" s="23">
        <f t="shared" si="1"/>
        <v>20994.471672741754</v>
      </c>
      <c r="H18" s="23">
        <f t="shared" si="1"/>
        <v>3614.1672861077136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2.594562654211168E-5</v>
      </c>
      <c r="C50" s="315">
        <f t="shared" ref="C50:P50" si="2">SUM(C51:C52)</f>
        <v>0</v>
      </c>
      <c r="D50" s="315">
        <f t="shared" si="2"/>
        <v>0</v>
      </c>
      <c r="E50" s="315">
        <f t="shared" si="2"/>
        <v>0</v>
      </c>
      <c r="F50" s="315">
        <f t="shared" si="2"/>
        <v>0</v>
      </c>
      <c r="G50" s="315">
        <f t="shared" si="2"/>
        <v>5.6286431878957337E-3</v>
      </c>
      <c r="H50" s="315">
        <f t="shared" si="2"/>
        <v>0</v>
      </c>
      <c r="I50" s="315">
        <f t="shared" si="2"/>
        <v>0</v>
      </c>
      <c r="J50" s="315">
        <f t="shared" si="2"/>
        <v>0</v>
      </c>
      <c r="K50" s="315">
        <f t="shared" si="2"/>
        <v>0</v>
      </c>
      <c r="L50" s="315">
        <f t="shared" si="2"/>
        <v>0</v>
      </c>
      <c r="M50" s="315">
        <f t="shared" si="2"/>
        <v>2.4099688028552234E-4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2.594562654211168E-5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5.6286431878957337E-3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2.4099688028552234E-4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7.2071184839199116</v>
      </c>
      <c r="C54" s="21">
        <f t="shared" ref="C54:P54" si="3">(C50)*10^9/3600</f>
        <v>0</v>
      </c>
      <c r="D54" s="21">
        <f t="shared" si="3"/>
        <v>0</v>
      </c>
      <c r="E54" s="21">
        <f t="shared" si="3"/>
        <v>0</v>
      </c>
      <c r="F54" s="21">
        <f t="shared" si="3"/>
        <v>0</v>
      </c>
      <c r="G54" s="21">
        <f t="shared" si="3"/>
        <v>1563.5119966377038</v>
      </c>
      <c r="H54" s="21">
        <f t="shared" si="3"/>
        <v>0</v>
      </c>
      <c r="I54" s="21">
        <f t="shared" si="3"/>
        <v>0</v>
      </c>
      <c r="J54" s="21">
        <f t="shared" si="3"/>
        <v>0</v>
      </c>
      <c r="K54" s="21">
        <f t="shared" si="3"/>
        <v>0</v>
      </c>
      <c r="L54" s="21">
        <f t="shared" si="3"/>
        <v>0</v>
      </c>
      <c r="M54" s="21">
        <f t="shared" si="3"/>
        <v>66.943577857089537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0.20487922557918073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1.4765888536429106</v>
      </c>
      <c r="C58" s="23">
        <f t="shared" ref="C58:P58" ca="1" si="4">C54*C56</f>
        <v>0</v>
      </c>
      <c r="D58" s="23">
        <f t="shared" si="4"/>
        <v>0</v>
      </c>
      <c r="E58" s="23">
        <f t="shared" si="4"/>
        <v>0</v>
      </c>
      <c r="F58" s="23">
        <f t="shared" si="4"/>
        <v>0</v>
      </c>
      <c r="G58" s="23">
        <f t="shared" si="4"/>
        <v>417.45770310226692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1090.2333150273148</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3099.6451643640039</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1341</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5530.8784793913183</v>
      </c>
      <c r="C10" s="558">
        <f t="shared" ref="C10:L10" si="0">SUM(C8:C9)</f>
        <v>0</v>
      </c>
      <c r="D10" s="558">
        <f t="shared" si="0"/>
        <v>0</v>
      </c>
      <c r="E10" s="558">
        <f t="shared" si="0"/>
        <v>0</v>
      </c>
      <c r="F10" s="558">
        <f t="shared" si="0"/>
        <v>0</v>
      </c>
      <c r="G10" s="558">
        <f t="shared" si="0"/>
        <v>0</v>
      </c>
      <c r="H10" s="558">
        <f t="shared" si="0"/>
        <v>0</v>
      </c>
      <c r="I10" s="558">
        <f t="shared" si="0"/>
        <v>0</v>
      </c>
      <c r="J10" s="558">
        <f t="shared" si="0"/>
        <v>3831.4285714285716</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13017</v>
      </c>
      <c r="C35" s="777">
        <v>2460</v>
      </c>
      <c r="D35" s="632" t="s">
        <v>983</v>
      </c>
      <c r="E35" s="632" t="s">
        <v>984</v>
      </c>
      <c r="F35" s="632" t="s">
        <v>985</v>
      </c>
      <c r="G35" s="632" t="s">
        <v>986</v>
      </c>
      <c r="H35" s="632" t="s">
        <v>987</v>
      </c>
      <c r="I35" s="632" t="s">
        <v>988</v>
      </c>
      <c r="J35" s="776">
        <v>38768</v>
      </c>
      <c r="K35" s="776">
        <v>39052</v>
      </c>
      <c r="L35" s="632" t="s">
        <v>989</v>
      </c>
      <c r="M35" s="632">
        <v>298</v>
      </c>
      <c r="N35" s="632">
        <v>1341</v>
      </c>
      <c r="O35" s="632">
        <v>0</v>
      </c>
      <c r="P35" s="632">
        <v>0</v>
      </c>
      <c r="Q35" s="632">
        <v>3831.4285714285716</v>
      </c>
      <c r="R35" s="632">
        <v>0</v>
      </c>
      <c r="S35" s="632">
        <v>0</v>
      </c>
      <c r="T35" s="632">
        <v>0</v>
      </c>
      <c r="U35" s="632">
        <v>0</v>
      </c>
      <c r="V35" s="632">
        <v>0</v>
      </c>
      <c r="W35" s="632">
        <v>0</v>
      </c>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298</v>
      </c>
      <c r="N36" s="587">
        <f>SUM(N35:N35)</f>
        <v>1341</v>
      </c>
      <c r="O36" s="587">
        <f>SUM(O35:O35)</f>
        <v>0</v>
      </c>
      <c r="P36" s="587">
        <f>SUM(P35:P35)</f>
        <v>0</v>
      </c>
      <c r="Q36" s="587">
        <f>SUM(Q35:Q35)</f>
        <v>3831.4285714285716</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298</v>
      </c>
      <c r="N38" s="587">
        <f>SUMIF($Z$35:$Z$36,"tertiair",N35:N36)</f>
        <v>1341</v>
      </c>
      <c r="O38" s="587">
        <f>SUMIF($Z$35:$Z$36,"tertiair",O35:O36)</f>
        <v>0</v>
      </c>
      <c r="P38" s="587">
        <f>SUMIF($Z$35:$Z$36,"tertiair",P35:P36)</f>
        <v>0</v>
      </c>
      <c r="Q38" s="587">
        <f>SUMIF($Z$35:$Z$36,"tertiair",Q35:Q36)</f>
        <v>3831.4285714285716</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2021-06-29T16:53:25Z</dcterms:modified>
</cp:coreProperties>
</file>