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<sst xmlns="http://schemas.openxmlformats.org/spreadsheetml/2006/main" count="2581" uniqueCount="983">
  <si>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</si>
  <si>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</si>
  <si>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</si>
  <si>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</si>
  <si>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</si>
  <si>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</si>
  <si>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</si>
  <si>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</si>
  <si>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</si>
  <si>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</si>
  <si>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</si>
  <si>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</si>
  <si>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</si>
  <si>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</si>
  <si>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</si>
  <si>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</si>
  <si>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</si>
  <si>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</si>
  <si>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</si>
  <si>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</si>
  <si>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</si>
  <si>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</si>
  <si>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</si>
  <si>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</si>
  <si>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</si>
  <si>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</si>
  <si>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</si>
  <si>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</si>
  <si>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</si>
  <si>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</si>
  <si>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</si>
  <si>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</si>
  <si>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</si>
  <si>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</si>
  <si>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</si>
  <si>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</si>
  <si>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</si>
  <si>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</si>
  <si>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</si>
  <si>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</si>
  <si>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</si>
  <si>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</si>
  <si>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</si>
  <si>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</si>
  <si>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</si>
  <si>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</si>
  <si>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</si>
  <si>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</si>
  <si>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</si>
  <si>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</si>
  <si>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</si>
  <si>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</si>
  <si>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</si>
  <si>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</si>
  <si>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</si>
  <si>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</si>
  <si>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</si>
  <si>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</si>
  <si>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</si>
  <si>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</si>
  <si>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</si>
  <si>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</si>
  <si>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</si>
  <si>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</si>
  <si>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</si>
  <si>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</si>
  <si>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</si>
  <si>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</si>
  <si>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</si>
  <si>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</si>
  <si>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</si>
  <si>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</si>
  <si>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</si>
  <si>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</si>
  <si>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</si>
  <si>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</si>
  <si>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</si>
  <si>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</si>
  <si>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</si>
  <si>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</si>
  <si>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</si>
  <si>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</si>
  <si>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</si>
  <si>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</si>
  <si>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</si>
  <si>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</si>
  <si>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</si>
  <si>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</si>
  <si>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</si>
  <si>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</si>
  <si>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</si>
  <si>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</si>
  <si>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</si>
  <si>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</si>
  <si>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</si>
  <si>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</si>
  <si>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</si>
  <si>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</si>
  <si>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</si>
  <si>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</si>
  <si>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</si>
  <si>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</si>
  <si>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</si>
  <si>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</si>
  <si>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</si>
  <si>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</si>
  <si>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</si>
  <si>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</si>
  <si>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</si>
  <si>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</si>
  <si>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</si>
  <si>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</si>
  <si>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</si>
  <si>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</si>
  <si>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</si>
  <si>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</si>
  <si>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</si>
  <si>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</si>
  <si>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</si>
  <si>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</si>
  <si>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</si>
  <si>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</si>
  <si>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</si>
  <si>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</si>
  <si>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</si>
  <si>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</si>
  <si>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</si>
  <si>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</si>
  <si>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</si>
  <si>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</si>
  <si>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</si>
  <si>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</si>
  <si>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</si>
  <si>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</si>
  <si>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</si>
  <si>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</si>
  <si>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</si>
  <si>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</si>
  <si>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</si>
  <si>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</si>
  <si>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</si>
  <si>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</si>
  <si>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</si>
  <si>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</si>
  <si>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</si>
  <si>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</si>
  <si>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</si>
  <si>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</si>
  <si>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</si>
  <si>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</si>
  <si>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</si>
  <si>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</si>
  <si>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</si>
  <si>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</si>
  <si>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</si>
  <si>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</si>
  <si>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</si>
  <si>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</si>
  <si>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</si>
  <si>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</si>
  <si>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</si>
  <si>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</si>
  <si>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</si>
  <si>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</si>
  <si>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</si>
  <si>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</si>
  <si>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</si>
  <si>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</si>
  <si>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</si>
  <si>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</si>
  <si>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</si>
  <si>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</si>
  <si>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</si>
  <si>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</si>
  <si>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</si>
  <si>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</si>
  <si>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</si>
  <si>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</si>
  <si>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</si>
  <si>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</si>
  <si>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</si>
  <si>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</si>
  <si>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</si>
  <si>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</si>
  <si>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</si>
  <si>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</si>
  <si>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</si>
  <si>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</si>
  <si>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</si>
  <si>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</si>
  <si>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</si>
  <si>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</si>
  <si>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</si>
  <si>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</si>
  <si>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</si>
  <si>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</si>
  <si>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</si>
  <si>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</si>
  <si>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</si>
  <si>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</si>
  <si>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</si>
  <si>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</si>
  <si>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</si>
  <si>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</si>
  <si>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</si>
  <si>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</si>
  <si>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</si>
  <si>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</si>
  <si>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</si>
  <si>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</si>
  <si>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</si>
  <si>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</si>
  <si>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</si>
  <si>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</si>
  <si>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</si>
  <si>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</si>
  <si>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</si>
  <si>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</si>
  <si>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</si>
  <si>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</si>
  <si>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</si>
  <si>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</si>
  <si>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</si>
  <si>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</si>
  <si>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</si>
  <si>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</si>
  <si>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</si>
  <si>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</si>
  <si>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</si>
  <si>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</si>
  <si>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</si>
  <si>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</si>
  <si>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</si>
  <si>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</si>
  <si>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</si>
  <si>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</si>
  <si>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</si>
  <si>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</si>
  <si>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</si>
  <si>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</si>
  <si>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</si>
  <si>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</si>
  <si>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</si>
  <si>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</si>
  <si>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</si>
  <si>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</si>
  <si>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</si>
  <si>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</si>
  <si>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</si>
  <si>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</si>
  <si>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</si>
  <si>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</si>
  <si>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</si>
  <si>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</si>
  <si>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</si>
  <si>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</si>
  <si>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</si>
  <si>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</si>
  <si>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</si>
  <si>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</si>
  <si>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</si>
  <si>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</si>
  <si>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</si>
  <si>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</si>
  <si>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</si>
  <si>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</si>
  <si>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</si>
  <si>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</si>
  <si>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</si>
  <si>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</si>
  <si>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</si>
  <si>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</si>
  <si>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</si>
  <si>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</si>
  <si>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</si>
  <si>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</si>
  <si>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</si>
  <si>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</si>
  <si>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</si>
  <si>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</si>
  <si>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</si>
  <si>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</si>
  <si>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</si>
  <si>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</si>
  <si>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</si>
  <si>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</si>
  <si>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</si>
  <si>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</si>
  <si>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</si>
  <si>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</si>
  <si>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</si>
  <si>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</si>
  <si>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</si>
  <si>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</si>
  <si>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</si>
  <si>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</si>
  <si>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</si>
  <si>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</si>
  <si>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</si>
  <si>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</si>
  <si>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</si>
  <si>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</si>
  <si>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</si>
  <si>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</si>
  <si>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</si>
  <si>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</si>
  <si>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</si>
  <si>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</si>
  <si>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</si>
  <si>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</si>
  <si>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</si>
  <si>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</si>
  <si>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</si>
  <si>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</si>
  <si>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</si>
  <si>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</si>
  <si>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</si>
  <si>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</si>
  <si>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</si>
  <si>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</si>
  <si>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</si>
  <si>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</si>
  <si>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</si>
  <si>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</si>
  <si>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</si>
  <si>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</si>
  <si>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</si>
  <si>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</si>
  <si>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</si>
  <si>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</si>
  <si>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</si>
  <si>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</si>
  <si>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</si>
  <si>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</si>
  <si>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</si>
  <si>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</si>
  <si>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</si>
  <si>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</si>
  <si>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</si>
  <si>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</si>
  <si>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</si>
  <si>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</si>
  <si>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</si>
  <si>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</si>
  <si>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</si>
  <si>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</si>
  <si>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</si>
  <si>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</si>
  <si>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</si>
  <si>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</si>
  <si>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</si>
  <si>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</si>
  <si>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</si>
  <si>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</si>
  <si>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</si>
  <si>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</si>
  <si>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</si>
  <si>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</si>
  <si>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</si>
  <si>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</si>
  <si>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</si>
  <si>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</si>
  <si>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</si>
  <si>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</si>
  <si>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</si>
  <si>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</si>
  <si>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</si>
  <si>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</si>
  <si>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</si>
  <si>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</si>
  <si>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</si>
  <si>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</si>
  <si>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</si>
  <si>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</si>
  <si>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</si>
  <si>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</si>
  <si>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</si>
  <si>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</si>
  <si>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</si>
  <si>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</si>
  <si>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</si>
  <si>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</si>
  <si>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</si>
  <si>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</si>
  <si>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</si>
  <si>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</si>
  <si>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</si>
  <si>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</si>
  <si>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</si>
  <si>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</si>
  <si>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</si>
  <si>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</si>
  <si>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</si>
  <si>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</si>
  <si>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</si>
  <si>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</si>
  <si>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</si>
  <si>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</si>
  <si>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</si>
  <si>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</si>
  <si>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</si>
  <si>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</si>
  <si>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</si>
  <si>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</si>
  <si>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</si>
  <si>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</si>
  <si>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</si>
  <si>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</si>
  <si>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</si>
  <si>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</si>
  <si>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</si>
  <si>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</si>
  <si>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</si>
  <si>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</si>
  <si>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</si>
  <si>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</si>
  <si>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</si>
  <si>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</si>
  <si>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</si>
  <si>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</si>
  <si>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</si>
  <si>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</si>
  <si>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</si>
  <si>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</si>
  <si>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</si>
  <si>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</si>
  <si>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</si>
  <si>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</si>
  <si>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</si>
  <si>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</si>
  <si>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</si>
  <si>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</si>
  <si>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</si>
  <si>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</si>
  <si>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</si>
  <si>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</si>
  <si>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</si>
  <si>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</si>
  <si>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</si>
  <si>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</si>
  <si>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</si>
  <si>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</si>
  <si>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</si>
  <si>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</si>
  <si>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</si>
  <si>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</si>
  <si>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</si>
  <si>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</si>
  <si>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</si>
  <si>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</si>
  <si>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</si>
  <si>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</si>
  <si>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</si>
  <si>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</si>
  <si>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</si>
  <si>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</si>
  <si>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</si>
  <si>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</si>
  <si>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</si>
  <si>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</si>
  <si>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</si>
  <si>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</si>
  <si>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</si>
  <si>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</si>
  <si>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</si>
  <si>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</si>
  <si>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</si>
  <si>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</si>
  <si>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</si>
  <si>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</si>
  <si>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</si>
  <si>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</si>
  <si>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</si>
  <si>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</si>
  <si>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</si>
  <si>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</si>
  <si>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</si>
  <si>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</si>
  <si>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</si>
  <si>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</si>
  <si>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</si>
  <si>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</si>
  <si>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</si>
  <si>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</si>
  <si>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</si>
  <si>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</si>
  <si>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</si>
  <si>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</si>
  <si>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</si>
  <si>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</si>
  <si>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</si>
  <si>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</si>
  <si>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</si>
  <si>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</si>
  <si>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</si>
  <si>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</si>
  <si>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</si>
  <si>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</si>
  <si>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</si>
  <si>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</si>
  <si>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</si>
  <si>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</si>
  <si>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</si>
  <si>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</si>
  <si>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</si>
  <si>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</si>
  <si>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</si>
  <si>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</si>
  <si>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</si>
  <si>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</si>
  <si>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</si>
  <si>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</si>
  <si>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</si>
  <si>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</si>
  <si>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</si>
  <si>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</si>
  <si>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</si>
  <si>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</si>
  <si>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</si>
  <si>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</si>
  <si>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</si>
  <si>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</si>
  <si>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</si>
  <si>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</si>
  <si>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</si>
  <si>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</si>
  <si>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</si>
  <si>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</si>
  <si>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</si>
  <si>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</si>
  <si>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</si>
  <si>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</si>
  <si>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</si>
  <si>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</si>
  <si>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</si>
  <si>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</si>
  <si>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</si>
  <si>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</si>
  <si>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</si>
  <si>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</si>
  <si>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</si>
  <si>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</si>
  <si>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</si>
  <si>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</si>
  <si>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</si>
  <si>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</si>
  <si>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</si>
  <si>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</si>
  <si>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</si>
  <si>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</si>
  <si>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</si>
  <si>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</si>
  <si>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</si>
  <si>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</si>
  <si>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</si>
  <si>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</si>
  <si>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</si>
  <si>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</si>
  <si>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</si>
  <si>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</si>
  <si>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</si>
  <si>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</si>
  <si>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</si>
  <si>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</si>
  <si>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</si>
  <si>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</si>
  <si>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</si>
  <si>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</si>
  <si>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</si>
  <si>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</si>
  <si>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</si>
  <si>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</si>
  <si>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</si>
  <si>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</si>
  <si>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</si>
  <si>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</si>
  <si>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</si>
  <si>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</si>
  <si>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</si>
  <si>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</si>
  <si>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</si>
  <si>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</si>
  <si>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</si>
  <si>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</si>
  <si>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</si>
  <si>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</si>
  <si>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</si>
  <si>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</si>
  <si>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</si>
  <si>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</si>
  <si>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</si>
  <si>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</si>
  <si>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</si>
  <si>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</si>
  <si>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</si>
  <si>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</si>
  <si>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</si>
  <si>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</si>
  <si>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</si>
  <si>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</si>
  <si>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</si>
  <si>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</si>
  <si>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</si>
  <si>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</si>
  <si>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</si>
  <si>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</si>
  <si>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</si>
  <si>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</si>
  <si>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</si>
  <si>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</si>
  <si>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</si>
  <si>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</si>
  <si>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</si>
  <si>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</si>
  <si>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</si>
  <si>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</si>
  <si>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</si>
  <si>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</si>
  <si>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</si>
  <si>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</si>
  <si>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</si>
  <si>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</si>
  <si>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</si>
  <si>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</si>
  <si>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</si>
  <si>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</si>
  <si>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</si>
  <si>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</si>
  <si>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</si>
  <si>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</si>
  <si>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</si>
  <si>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</si>
  <si>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</si>
  <si>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</si>
  <si>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</si>
  <si>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</si>
  <si>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</si>
  <si>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</si>
  <si>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</si>
  <si>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</si>
  <si>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</si>
  <si>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</si>
  <si>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</si>
  <si>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</si>
  <si>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</si>
  <si>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</si>
  <si>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</si>
  <si>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</si>
  <si>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</si>
  <si>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</si>
  <si>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</si>
  <si>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</si>
  <si>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</si>
  <si>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</si>
  <si>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</si>
  <si>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</si>
  <si>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</si>
  <si>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</si>
  <si>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</si>
  <si>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</si>
  <si>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</si>
  <si>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</si>
  <si>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</si>
  <si>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</si>
  <si>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</si>
  <si>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</si>
  <si>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</si>
  <si>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</si>
  <si>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</si>
  <si>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</si>
  <si>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</si>
  <si>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</si>
  <si>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</si>
  <si>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</si>
  <si>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</si>
  <si>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</si>
  <si>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</si>
  <si>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</si>
  <si>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</si>
  <si>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</si>
  <si>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</si>
  <si>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</si>
  <si>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</si>
  <si>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</si>
  <si>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</si>
  <si>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</si>
  <si>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</si>
  <si>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</si>
  <si>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</si>
  <si>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</si>
  <si>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</si>
  <si>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</si>
  <si>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</si>
  <si>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</si>
  <si>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</si>
  <si>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</si>
  <si>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</si>
  <si>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</si>
  <si>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</si>
  <si>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</si>
  <si>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</si>
  <si>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</si>
  <si>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</si>
  <si>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</si>
  <si>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</si>
  <si>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</si>
  <si>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</si>
  <si>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</si>
  <si>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</si>
  <si>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</si>
  <si>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</si>
  <si>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</si>
  <si>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</si>
  <si>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</si>
  <si>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</si>
  <si>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</si>
  <si>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</si>
  <si>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</si>
  <si>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</si>
  <si>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</si>
  <si>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</si>
  <si>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</si>
  <si>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</si>
  <si>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</si>
  <si>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</si>
  <si>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</si>
  <si>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</si>
  <si>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</si>
  <si>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</si>
  <si>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</si>
  <si>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</si>
  <si>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</si>
  <si>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</si>
  <si>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</si>
  <si>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</si>
  <si>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</si>
  <si>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</si>
  <si>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</si>
  <si>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</si>
  <si>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</si>
  <si>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</si>
  <si>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</si>
  <si>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</si>
  <si>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</si>
  <si>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</si>
  <si>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</si>
  <si>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</si>
  <si>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</si>
  <si>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</si>
  <si>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</si>
  <si>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</si>
  <si>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</si>
  <si>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</si>
  <si>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</si>
  <si>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</si>
  <si>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</si>
  <si>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</si>
  <si>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</si>
  <si>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</si>
  <si>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</si>
  <si>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</si>
  <si>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</si>
  <si>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</si>
  <si>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</si>
  <si>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</si>
  <si>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</si>
  <si>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</si>
  <si>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</si>
  <si>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</si>
  <si>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</si>
  <si>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</si>
  <si>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</si>
  <si>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</si>
  <si>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</si>
  <si>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</si>
  <si>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</si>
  <si>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</si>
  <si>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</si>
  <si>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</si>
  <si>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</si>
  <si>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</si>
  <si>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</si>
  <si>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</si>
  <si>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</si>
  <si>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</si>
  <si>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</si>
  <si>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</si>
  <si>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</si>
  <si>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</si>
  <si>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</si>
  <si>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</si>
  <si>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</si>
  <si>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</si>
  <si>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</si>
  <si>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</si>
  <si>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</si>
  <si>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</si>
  <si>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</si>
  <si>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</si>
  <si>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</si>
  <si>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</si>
  <si>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</si>
  <si>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</si>
  <si>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</si>
  <si>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</si>
  <si>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</si>
  <si>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</si>
  <si>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</si>
  <si>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</si>
  <si>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</si>
  <si>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</si>
  <si>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</si>
  <si>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</si>
  <si>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</si>
  <si>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</si>
  <si>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</si>
  <si>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</si>
  <si>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</si>
  <si>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</si>
  <si>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</si>
  <si>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</si>
  <si>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</si>
  <si>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</si>
  <si>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</si>
  <si>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</si>
  <si>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</si>
  <si>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</si>
  <si>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</si>
  <si>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</si>
  <si>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</si>
  <si>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</si>
  <si>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</si>
  <si>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</si>
  <si>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</si>
  <si>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</si>
  <si>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</si>
  <si>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</si>
  <si>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</si>
  <si>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</si>
  <si>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</si>
  <si>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</si>
  <si>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</si>
  <si>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</si>
  <si>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</si>
  <si>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</si>
  <si>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</si>
  <si>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</si>
  <si>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</si>
  <si>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</si>
  <si>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</si>
  <si>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</si>
  <si>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</si>
  <si>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</si>
  <si>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</si>
  <si>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</si>
  <si>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</si>
  <si>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</si>
  <si>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</si>
  <si>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</si>
  <si>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</si>
  <si>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</si>
  <si>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</si>
  <si>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</si>
  <si>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</si>
  <si>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</si>
  <si>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</si>
  <si>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</si>
  <si>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</si>
  <si>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</si>
  <si>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</si>
  <si>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</si>
  <si>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</si>
  <si>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</si>
  <si>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</si>
  <si>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</si>
  <si>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</si>
  <si>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</si>
  <si>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</si>
  <si>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</si>
  <si>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</si>
  <si>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</si>
  <si>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</si>
  <si>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</si>
  <si>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</si>
  <si>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</si>
  <si>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</si>
  <si>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</si>
  <si>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</si>
  <si>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</si>
  <si>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</si>
  <si>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</si>
  <si>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</si>
  <si>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</si>
  <si>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</si>
  <si>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</si>
  <si>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</si>
  <si>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</si>
  <si>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</si>
  <si>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</si>
  <si>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</si>
  <si>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</si>
  <si>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</si>
  <si>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</si>
  <si>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</si>
  <si>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</si>
  <si>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</si>
  <si>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</si>
  <si>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</si>
  <si>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</si>
  <si>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</si>
  <si>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</si>
  <si>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</si>
  <si>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</si>
  <si>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</si>
  <si>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</si>
  <si>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</si>
  <si>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</si>
  <si>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</si>
  <si>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</si>
  <si>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</si>
  <si>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</si>
  <si>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</si>
  <si>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</si>
  <si>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</si>
  <si>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</si>
  <si>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</si>
  <si>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</si>
  <si>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</si>
  <si>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</si>
  <si>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</si>
  <si>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</si>
  <si>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</si>
  <si>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</si>
  <si>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</si>
  <si>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</si>
  <si>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</si>
  <si>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</si>
  <si>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</si>
  <si>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</si>
  <si>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</si>
  <si>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</si>
  <si>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</si>
  <si>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</si>
  <si>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</si>
  <si>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</si>
  <si>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</si>
  <si>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</si>
  <si>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</si>
  <si>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</si>
  <si>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</si>
  <si>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</si>
  <si>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</si>
  <si>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</si>
  <si>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</si>
  <si>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</si>
  <si>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</si>
  <si>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</si>
  <si>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</si>
  <si>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</si>
  <si>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</si>
  <si>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</si>
  <si>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</si>
  <si>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</si>
  <si>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</si>
  <si>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</si>
  <si>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</si>
  <si>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</si>
  <si>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</si>
  <si>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</si>
  <si>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</si>
  <si>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</si>
  <si>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</si>
  <si>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</si>
  <si>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</si>
  <si>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</si>
  <si>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</si>
  <si>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13016</t>
  </si>
  <si>
    <t>HULSHOUT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</si>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</sst>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13016</v>
      </c>
      <c r="B6" s="386"/>
      <c r="C6" s="387"/>
    </row>
    <row r="7" spans="1:7" s="384" customFormat="1" ht="15.75" customHeight="1">
      <c r="A7" s="388" t="str">
        <f>txtMunicipality</f>
        <v>HULSHOUT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13470.170687971629</v>
      </c>
      <c r="D10" s="676">
        <f ca="1">tertiair!C16</f>
        <v>0</v>
      </c>
      <c r="E10" s="676">
        <f ca="1">tertiair!D16</f>
        <v>5859.441623612187</v>
      </c>
      <c r="F10" s="676">
        <f>tertiair!E16</f>
        <v>260.04308466315024</v>
      </c>
      <c r="G10" s="676">
        <f ca="1">tertiair!F16</f>
        <v>2412.4300215984676</v>
      </c>
      <c r="H10" s="676">
        <f>tertiair!G16</f>
        <v>0</v>
      </c>
      <c r="I10" s="676">
        <f>tertiair!H16</f>
        <v>0</v>
      </c>
      <c r="J10" s="676">
        <f>tertiair!I16</f>
        <v>0</v>
      </c>
      <c r="K10" s="676">
        <f>tertiair!J16</f>
        <v>0</v>
      </c>
      <c r="L10" s="676">
        <f>tertiair!K16</f>
        <v>0</v>
      </c>
      <c r="M10" s="676">
        <f ca="1">tertiair!L16</f>
        <v>0</v>
      </c>
      <c r="N10" s="676">
        <f>tertiair!M16</f>
        <v>0</v>
      </c>
      <c r="O10" s="676">
        <f ca="1">tertiair!N16</f>
        <v>453.90787580067234</v>
      </c>
      <c r="P10" s="676">
        <f>tertiair!O16</f>
        <v>0</v>
      </c>
      <c r="Q10" s="677">
        <f>tertiair!P16</f>
        <v>0</v>
      </c>
      <c r="R10" s="679">
        <f ca="1">SUM(C10:Q10)</f>
        <v>22455.993293646105</v>
      </c>
      <c r="S10" s="67"/>
    </row>
    <row r="11" spans="1:19" s="445" customFormat="1">
      <c r="A11" s="791" t="s">
        <v>220</v>
      </c>
      <c r="B11" s="796"/>
      <c r="C11" s="676">
        <f>huishoudens!B8</f>
        <v>19044.050763704956</v>
      </c>
      <c r="D11" s="676">
        <f>huishoudens!C8</f>
        <v>0</v>
      </c>
      <c r="E11" s="676">
        <f>huishoudens!D8</f>
        <v>27326.484393834988</v>
      </c>
      <c r="F11" s="676">
        <f>huishoudens!E8</f>
        <v>1152.164832372624</v>
      </c>
      <c r="G11" s="676">
        <f>huishoudens!F8</f>
        <v>39328.450232410243</v>
      </c>
      <c r="H11" s="676">
        <f>huishoudens!G8</f>
        <v>0</v>
      </c>
      <c r="I11" s="676">
        <f>huishoudens!H8</f>
        <v>0</v>
      </c>
      <c r="J11" s="676">
        <f>huishoudens!I8</f>
        <v>0</v>
      </c>
      <c r="K11" s="676">
        <f>huishoudens!J8</f>
        <v>885.57699031807795</v>
      </c>
      <c r="L11" s="676">
        <f>huishoudens!K8</f>
        <v>0</v>
      </c>
      <c r="M11" s="676">
        <f>huishoudens!L8</f>
        <v>0</v>
      </c>
      <c r="N11" s="676">
        <f>huishoudens!M8</f>
        <v>0</v>
      </c>
      <c r="O11" s="676">
        <f>huishoudens!N8</f>
        <v>5277.9490195279304</v>
      </c>
      <c r="P11" s="676">
        <f>huishoudens!O8</f>
        <v>32.830000000000005</v>
      </c>
      <c r="Q11" s="677">
        <f>huishoudens!P8</f>
        <v>247.86666666666667</v>
      </c>
      <c r="R11" s="679">
        <f>SUM(C11:Q11)</f>
        <v>93295.3728988355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7145.8402851455658</v>
      </c>
      <c r="D13" s="676">
        <f>industrie!C18</f>
        <v>0</v>
      </c>
      <c r="E13" s="676">
        <f>industrie!D18</f>
        <v>25768.073811547489</v>
      </c>
      <c r="F13" s="676">
        <f>industrie!E18</f>
        <v>72.768784746441199</v>
      </c>
      <c r="G13" s="676">
        <f>industrie!F18</f>
        <v>2038.5697849711162</v>
      </c>
      <c r="H13" s="676">
        <f>industrie!G18</f>
        <v>0</v>
      </c>
      <c r="I13" s="676">
        <f>industrie!H18</f>
        <v>0</v>
      </c>
      <c r="J13" s="676">
        <f>industrie!I18</f>
        <v>0</v>
      </c>
      <c r="K13" s="676">
        <f>industrie!J18</f>
        <v>40.499186265486678</v>
      </c>
      <c r="L13" s="676">
        <f>industrie!K18</f>
        <v>0</v>
      </c>
      <c r="M13" s="676">
        <f>industrie!L18</f>
        <v>0</v>
      </c>
      <c r="N13" s="676">
        <f>industrie!M18</f>
        <v>0</v>
      </c>
      <c r="O13" s="676">
        <f>industrie!N18</f>
        <v>187.51347358790014</v>
      </c>
      <c r="P13" s="676">
        <f>industrie!O18</f>
        <v>0</v>
      </c>
      <c r="Q13" s="677">
        <f>industrie!P18</f>
        <v>0</v>
      </c>
      <c r="R13" s="679">
        <f>SUM(C13:Q13)</f>
        <v>35253.265326264001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39660.06173682215</v>
      </c>
      <c r="D16" s="709">
        <f t="shared" ref="D16:R16" ca="1" si="0">SUM(D9:D15)</f>
        <v>0</v>
      </c>
      <c r="E16" s="709">
        <f t="shared" ca="1" si="0"/>
        <v>58953.99982899466</v>
      </c>
      <c r="F16" s="709">
        <f t="shared" si="0"/>
        <v>1484.9767017822155</v>
      </c>
      <c r="G16" s="709">
        <f t="shared" ca="1" si="0"/>
        <v>43779.450038979827</v>
      </c>
      <c r="H16" s="709">
        <f t="shared" si="0"/>
        <v>0</v>
      </c>
      <c r="I16" s="709">
        <f t="shared" si="0"/>
        <v>0</v>
      </c>
      <c r="J16" s="709">
        <f t="shared" si="0"/>
        <v>0</v>
      </c>
      <c r="K16" s="709">
        <f t="shared" si="0"/>
        <v>926.07617658356457</v>
      </c>
      <c r="L16" s="709">
        <f t="shared" si="0"/>
        <v>0</v>
      </c>
      <c r="M16" s="709">
        <f t="shared" ca="1" si="0"/>
        <v>0</v>
      </c>
      <c r="N16" s="709">
        <f t="shared" si="0"/>
        <v>0</v>
      </c>
      <c r="O16" s="709">
        <f t="shared" ca="1" si="0"/>
        <v>5919.3703689165031</v>
      </c>
      <c r="P16" s="709">
        <f t="shared" si="0"/>
        <v>32.830000000000005</v>
      </c>
      <c r="Q16" s="709">
        <f t="shared" si="0"/>
        <v>247.86666666666667</v>
      </c>
      <c r="R16" s="709">
        <f t="shared" ca="1" si="0"/>
        <v>151004.63151874559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1.9762461925789625</v>
      </c>
      <c r="D19" s="676">
        <f>transport!C54</f>
        <v>0</v>
      </c>
      <c r="E19" s="676">
        <f>transport!D54</f>
        <v>0</v>
      </c>
      <c r="F19" s="676">
        <f>transport!E54</f>
        <v>0</v>
      </c>
      <c r="G19" s="676">
        <f>transport!F54</f>
        <v>0</v>
      </c>
      <c r="H19" s="676">
        <f>transport!G54</f>
        <v>428.72677024815937</v>
      </c>
      <c r="I19" s="676">
        <f>transport!H54</f>
        <v>0</v>
      </c>
      <c r="J19" s="676">
        <f>transport!I54</f>
        <v>0</v>
      </c>
      <c r="K19" s="676">
        <f>transport!J54</f>
        <v>0</v>
      </c>
      <c r="L19" s="676">
        <f>transport!K54</f>
        <v>0</v>
      </c>
      <c r="M19" s="676">
        <f>transport!L54</f>
        <v>0</v>
      </c>
      <c r="N19" s="676">
        <f>transport!M54</f>
        <v>18.356433455736806</v>
      </c>
      <c r="O19" s="676">
        <f>transport!N54</f>
        <v>0</v>
      </c>
      <c r="P19" s="676">
        <f>transport!O54</f>
        <v>0</v>
      </c>
      <c r="Q19" s="677">
        <f>transport!P54</f>
        <v>0</v>
      </c>
      <c r="R19" s="679">
        <f>SUM(C19:Q19)</f>
        <v>449.05944989647514</v>
      </c>
      <c r="S19" s="67"/>
    </row>
    <row r="20" spans="1:19" s="445" customFormat="1">
      <c r="A20" s="791" t="s">
        <v>302</v>
      </c>
      <c r="B20" s="796"/>
      <c r="C20" s="676">
        <f>transport!B14</f>
        <v>0.33850211248220874</v>
      </c>
      <c r="D20" s="676">
        <f>transport!C14</f>
        <v>0</v>
      </c>
      <c r="E20" s="676">
        <f>transport!D14</f>
        <v>1.171813966116676</v>
      </c>
      <c r="F20" s="676">
        <f>transport!E14</f>
        <v>120.37282372329074</v>
      </c>
      <c r="G20" s="676">
        <f>transport!F14</f>
        <v>0</v>
      </c>
      <c r="H20" s="676">
        <f>transport!G14</f>
        <v>19119.880526808432</v>
      </c>
      <c r="I20" s="676">
        <f>transport!H14</f>
        <v>3848.3769416151099</v>
      </c>
      <c r="J20" s="676">
        <f>transport!I14</f>
        <v>0</v>
      </c>
      <c r="K20" s="676">
        <f>transport!J14</f>
        <v>0</v>
      </c>
      <c r="L20" s="676">
        <f>transport!K14</f>
        <v>0</v>
      </c>
      <c r="M20" s="676">
        <f>transport!L14</f>
        <v>0</v>
      </c>
      <c r="N20" s="676">
        <f>transport!M14</f>
        <v>1000.7905293175445</v>
      </c>
      <c r="O20" s="676">
        <f>transport!N14</f>
        <v>0</v>
      </c>
      <c r="P20" s="676">
        <f>transport!O14</f>
        <v>0</v>
      </c>
      <c r="Q20" s="677">
        <f>transport!P14</f>
        <v>0</v>
      </c>
      <c r="R20" s="679">
        <f>SUM(C20:Q20)</f>
        <v>24090.931137542975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2.3147483050611712</v>
      </c>
      <c r="D22" s="794">
        <f t="shared" ref="D22:R22" si="1">SUM(D18:D21)</f>
        <v>0</v>
      </c>
      <c r="E22" s="794">
        <f t="shared" si="1"/>
        <v>1.171813966116676</v>
      </c>
      <c r="F22" s="794">
        <f t="shared" si="1"/>
        <v>120.37282372329074</v>
      </c>
      <c r="G22" s="794">
        <f t="shared" si="1"/>
        <v>0</v>
      </c>
      <c r="H22" s="794">
        <f t="shared" si="1"/>
        <v>19548.607297056591</v>
      </c>
      <c r="I22" s="794">
        <f t="shared" si="1"/>
        <v>3848.3769416151099</v>
      </c>
      <c r="J22" s="794">
        <f t="shared" si="1"/>
        <v>0</v>
      </c>
      <c r="K22" s="794">
        <f t="shared" si="1"/>
        <v>0</v>
      </c>
      <c r="L22" s="794">
        <f t="shared" si="1"/>
        <v>0</v>
      </c>
      <c r="M22" s="794">
        <f t="shared" si="1"/>
        <v>0</v>
      </c>
      <c r="N22" s="794">
        <f t="shared" si="1"/>
        <v>1019.1469627732813</v>
      </c>
      <c r="O22" s="794">
        <f t="shared" si="1"/>
        <v>0</v>
      </c>
      <c r="P22" s="794">
        <f t="shared" si="1"/>
        <v>0</v>
      </c>
      <c r="Q22" s="794">
        <f t="shared" si="1"/>
        <v>0</v>
      </c>
      <c r="R22" s="794">
        <f t="shared" si="1"/>
        <v>24539.99058743945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711.28076698868608</v>
      </c>
      <c r="D24" s="676">
        <f>+landbouw!C8</f>
        <v>0</v>
      </c>
      <c r="E24" s="676">
        <f>+landbouw!D8</f>
        <v>33.292745913112242</v>
      </c>
      <c r="F24" s="676">
        <f>+landbouw!E8</f>
        <v>7.4486861779120623</v>
      </c>
      <c r="G24" s="676">
        <f>+landbouw!F8</f>
        <v>3044.8221413122665</v>
      </c>
      <c r="H24" s="676">
        <f>+landbouw!G8</f>
        <v>0</v>
      </c>
      <c r="I24" s="676">
        <f>+landbouw!H8</f>
        <v>0</v>
      </c>
      <c r="J24" s="676">
        <f>+landbouw!I8</f>
        <v>0</v>
      </c>
      <c r="K24" s="676">
        <f>+landbouw!J8</f>
        <v>63.523747810364959</v>
      </c>
      <c r="L24" s="676">
        <f>+landbouw!K8</f>
        <v>0</v>
      </c>
      <c r="M24" s="676">
        <f>+landbouw!L8</f>
        <v>0</v>
      </c>
      <c r="N24" s="676">
        <f>+landbouw!M8</f>
        <v>0</v>
      </c>
      <c r="O24" s="676">
        <f>+landbouw!N8</f>
        <v>0</v>
      </c>
      <c r="P24" s="676">
        <f>+landbouw!O8</f>
        <v>0</v>
      </c>
      <c r="Q24" s="677">
        <f>+landbouw!P8</f>
        <v>0</v>
      </c>
      <c r="R24" s="679">
        <f>SUM(C24:Q24)</f>
        <v>3860.3680882023418</v>
      </c>
      <c r="S24" s="67"/>
    </row>
    <row r="25" spans="1:19" s="445" customFormat="1" ht="15" thickBot="1">
      <c r="A25" s="813" t="s">
        <v>895</v>
      </c>
      <c r="B25" s="968"/>
      <c r="C25" s="969">
        <f>IF(Onbekend_ele_kWh="---",0,Onbekend_ele_kWh)/1000+IF(REST_rest_ele_kWh="---",0,REST_rest_ele_kWh)/1000</f>
        <v>753.996832923037</v>
      </c>
      <c r="D25" s="969"/>
      <c r="E25" s="969">
        <f>IF(onbekend_gas_kWh="---",0,onbekend_gas_kWh)/1000+IF(REST_rest_gas_kWh="---",0,REST_rest_gas_kWh)/1000</f>
        <v>1660.3213976363199</v>
      </c>
      <c r="F25" s="969"/>
      <c r="G25" s="969"/>
      <c r="H25" s="969"/>
      <c r="I25" s="969"/>
      <c r="J25" s="969"/>
      <c r="K25" s="969"/>
      <c r="L25" s="969"/>
      <c r="M25" s="969"/>
      <c r="N25" s="969"/>
      <c r="O25" s="969"/>
      <c r="P25" s="969"/>
      <c r="Q25" s="970"/>
      <c r="R25" s="679">
        <f>SUM(C25:Q25)</f>
        <v>2414.3182305593568</v>
      </c>
      <c r="S25" s="67"/>
    </row>
    <row r="26" spans="1:19" s="445" customFormat="1" ht="15.75" thickBot="1">
      <c r="A26" s="682" t="s">
        <v>896</v>
      </c>
      <c r="B26" s="799"/>
      <c r="C26" s="794">
        <f>SUM(C24:C25)</f>
        <v>1465.277599911723</v>
      </c>
      <c r="D26" s="794">
        <f t="shared" ref="D26:R26" si="2">SUM(D24:D25)</f>
        <v>0</v>
      </c>
      <c r="E26" s="794">
        <f t="shared" si="2"/>
        <v>1693.6141435494321</v>
      </c>
      <c r="F26" s="794">
        <f t="shared" si="2"/>
        <v>7.4486861779120623</v>
      </c>
      <c r="G26" s="794">
        <f t="shared" si="2"/>
        <v>3044.8221413122665</v>
      </c>
      <c r="H26" s="794">
        <f t="shared" si="2"/>
        <v>0</v>
      </c>
      <c r="I26" s="794">
        <f t="shared" si="2"/>
        <v>0</v>
      </c>
      <c r="J26" s="794">
        <f t="shared" si="2"/>
        <v>0</v>
      </c>
      <c r="K26" s="794">
        <f t="shared" si="2"/>
        <v>63.523747810364959</v>
      </c>
      <c r="L26" s="794">
        <f t="shared" si="2"/>
        <v>0</v>
      </c>
      <c r="M26" s="794">
        <f t="shared" si="2"/>
        <v>0</v>
      </c>
      <c r="N26" s="794">
        <f t="shared" si="2"/>
        <v>0</v>
      </c>
      <c r="O26" s="794">
        <f t="shared" si="2"/>
        <v>0</v>
      </c>
      <c r="P26" s="794">
        <f t="shared" si="2"/>
        <v>0</v>
      </c>
      <c r="Q26" s="794">
        <f t="shared" si="2"/>
        <v>0</v>
      </c>
      <c r="R26" s="794">
        <f t="shared" si="2"/>
        <v>6274.6863187616982</v>
      </c>
      <c r="S26" s="67"/>
    </row>
    <row r="27" spans="1:19" s="445" customFormat="1" ht="17.25" thickTop="1" thickBot="1">
      <c r="A27" s="683" t="s">
        <v>115</v>
      </c>
      <c r="B27" s="786"/>
      <c r="C27" s="684">
        <f ca="1">C22+C16+C26</f>
        <v>41127.654085038936</v>
      </c>
      <c r="D27" s="684">
        <f t="shared" ref="D27:R27" ca="1" si="3">D22+D16+D26</f>
        <v>0</v>
      </c>
      <c r="E27" s="684">
        <f t="shared" ca="1" si="3"/>
        <v>60648.785786510212</v>
      </c>
      <c r="F27" s="684">
        <f t="shared" si="3"/>
        <v>1612.7982116834185</v>
      </c>
      <c r="G27" s="684">
        <f t="shared" ca="1" si="3"/>
        <v>46824.272180292093</v>
      </c>
      <c r="H27" s="684">
        <f t="shared" si="3"/>
        <v>19548.607297056591</v>
      </c>
      <c r="I27" s="684">
        <f t="shared" si="3"/>
        <v>3848.3769416151099</v>
      </c>
      <c r="J27" s="684">
        <f t="shared" si="3"/>
        <v>0</v>
      </c>
      <c r="K27" s="684">
        <f t="shared" si="3"/>
        <v>989.59992439392954</v>
      </c>
      <c r="L27" s="684">
        <f t="shared" si="3"/>
        <v>0</v>
      </c>
      <c r="M27" s="684">
        <f t="shared" ca="1" si="3"/>
        <v>0</v>
      </c>
      <c r="N27" s="684">
        <f t="shared" si="3"/>
        <v>1019.1469627732813</v>
      </c>
      <c r="O27" s="684">
        <f t="shared" ca="1" si="3"/>
        <v>5919.3703689165031</v>
      </c>
      <c r="P27" s="684">
        <f t="shared" si="3"/>
        <v>32.830000000000005</v>
      </c>
      <c r="Q27" s="684">
        <f t="shared" si="3"/>
        <v>247.86666666666667</v>
      </c>
      <c r="R27" s="684">
        <f t="shared" ca="1" si="3"/>
        <v>181819.30842494674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2889.7640435101148</v>
      </c>
      <c r="D40" s="676">
        <f ca="1">tertiair!C20</f>
        <v>0</v>
      </c>
      <c r="E40" s="676">
        <f ca="1">tertiair!D20</f>
        <v>1183.6072079696619</v>
      </c>
      <c r="F40" s="676">
        <f>tertiair!E20</f>
        <v>59.029780218535109</v>
      </c>
      <c r="G40" s="676">
        <f ca="1">tertiair!F20</f>
        <v>644.11881576679093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4776.5198474651033</v>
      </c>
    </row>
    <row r="41" spans="1:18">
      <c r="A41" s="804" t="s">
        <v>220</v>
      </c>
      <c r="B41" s="811"/>
      <c r="C41" s="676">
        <f ca="1">huishoudens!B12</f>
        <v>4085.531981334002</v>
      </c>
      <c r="D41" s="676">
        <f ca="1">huishoudens!C12</f>
        <v>0</v>
      </c>
      <c r="E41" s="676">
        <f>huishoudens!D12</f>
        <v>5519.9498475546679</v>
      </c>
      <c r="F41" s="676">
        <f>huishoudens!E12</f>
        <v>261.54141694858566</v>
      </c>
      <c r="G41" s="676">
        <f>huishoudens!F12</f>
        <v>10500.696212053535</v>
      </c>
      <c r="H41" s="676">
        <f>huishoudens!G12</f>
        <v>0</v>
      </c>
      <c r="I41" s="676">
        <f>huishoudens!H12</f>
        <v>0</v>
      </c>
      <c r="J41" s="676">
        <f>huishoudens!I12</f>
        <v>0</v>
      </c>
      <c r="K41" s="676">
        <f>huishoudens!J12</f>
        <v>313.49425457259957</v>
      </c>
      <c r="L41" s="676">
        <f>huishoudens!K12</f>
        <v>0</v>
      </c>
      <c r="M41" s="676">
        <f>huishoudens!L12</f>
        <v>0</v>
      </c>
      <c r="N41" s="676">
        <f>huishoudens!M12</f>
        <v>0</v>
      </c>
      <c r="O41" s="676">
        <f>huishoudens!N12</f>
        <v>0</v>
      </c>
      <c r="P41" s="676">
        <f>huishoudens!O12</f>
        <v>0</v>
      </c>
      <c r="Q41" s="751">
        <f>huishoudens!P12</f>
        <v>0</v>
      </c>
      <c r="R41" s="832">
        <f t="shared" ca="1" si="4"/>
        <v>20681.213712463392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1533.001533166854</v>
      </c>
      <c r="D43" s="676">
        <f ca="1">industrie!C22</f>
        <v>0</v>
      </c>
      <c r="E43" s="676">
        <f>industrie!D22</f>
        <v>5205.1509099325931</v>
      </c>
      <c r="F43" s="676">
        <f>industrie!E22</f>
        <v>16.518514137442153</v>
      </c>
      <c r="G43" s="676">
        <f>industrie!F22</f>
        <v>544.29813258728802</v>
      </c>
      <c r="H43" s="676">
        <f>industrie!G22</f>
        <v>0</v>
      </c>
      <c r="I43" s="676">
        <f>industrie!H22</f>
        <v>0</v>
      </c>
      <c r="J43" s="676">
        <f>industrie!I22</f>
        <v>0</v>
      </c>
      <c r="K43" s="676">
        <f>industrie!J22</f>
        <v>14.336711937982283</v>
      </c>
      <c r="L43" s="676">
        <f>industrie!K22</f>
        <v>0</v>
      </c>
      <c r="M43" s="676">
        <f>industrie!L22</f>
        <v>0</v>
      </c>
      <c r="N43" s="676">
        <f>industrie!M22</f>
        <v>0</v>
      </c>
      <c r="O43" s="676">
        <f>industrie!N22</f>
        <v>0</v>
      </c>
      <c r="P43" s="676">
        <f>industrie!O22</f>
        <v>0</v>
      </c>
      <c r="Q43" s="751">
        <f>industrie!P22</f>
        <v>0</v>
      </c>
      <c r="R43" s="831">
        <f t="shared" ca="1" si="4"/>
        <v>7313.3058017621597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8508.2975580109705</v>
      </c>
      <c r="D46" s="709">
        <f t="shared" ref="D46:Q46" ca="1" si="5">SUM(D39:D45)</f>
        <v>0</v>
      </c>
      <c r="E46" s="709">
        <f t="shared" ca="1" si="5"/>
        <v>11908.707965456924</v>
      </c>
      <c r="F46" s="709">
        <f t="shared" si="5"/>
        <v>337.08971130456291</v>
      </c>
      <c r="G46" s="709">
        <f t="shared" ca="1" si="5"/>
        <v>11689.113160407614</v>
      </c>
      <c r="H46" s="709">
        <f t="shared" si="5"/>
        <v>0</v>
      </c>
      <c r="I46" s="709">
        <f t="shared" si="5"/>
        <v>0</v>
      </c>
      <c r="J46" s="709">
        <f t="shared" si="5"/>
        <v>0</v>
      </c>
      <c r="K46" s="709">
        <f t="shared" si="5"/>
        <v>327.83096651058185</v>
      </c>
      <c r="L46" s="709">
        <f t="shared" si="5"/>
        <v>0</v>
      </c>
      <c r="M46" s="709">
        <f t="shared" ca="1" si="5"/>
        <v>0</v>
      </c>
      <c r="N46" s="709">
        <f t="shared" si="5"/>
        <v>0</v>
      </c>
      <c r="O46" s="709">
        <f t="shared" ca="1" si="5"/>
        <v>0</v>
      </c>
      <c r="P46" s="709">
        <f t="shared" si="5"/>
        <v>0</v>
      </c>
      <c r="Q46" s="709">
        <f t="shared" si="5"/>
        <v>0</v>
      </c>
      <c r="R46" s="709">
        <f ca="1">SUM(R39:R45)</f>
        <v>32771.039361690659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0.42396531719810088</v>
      </c>
      <c r="D49" s="676">
        <f ca="1">transport!C58</f>
        <v>0</v>
      </c>
      <c r="E49" s="676">
        <f>transport!D58</f>
        <v>0</v>
      </c>
      <c r="F49" s="676">
        <f>transport!E58</f>
        <v>0</v>
      </c>
      <c r="G49" s="676">
        <f>transport!F58</f>
        <v>0</v>
      </c>
      <c r="H49" s="676">
        <f>transport!G58</f>
        <v>114.47004765625856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114.89401297345665</v>
      </c>
    </row>
    <row r="50" spans="1:18">
      <c r="A50" s="807" t="s">
        <v>302</v>
      </c>
      <c r="B50" s="817"/>
      <c r="C50" s="975">
        <f ca="1">transport!B18</f>
        <v>7.2619067416628394E-2</v>
      </c>
      <c r="D50" s="975">
        <f>transport!C18</f>
        <v>0</v>
      </c>
      <c r="E50" s="975">
        <f>transport!D18</f>
        <v>0.23670642115556856</v>
      </c>
      <c r="F50" s="975">
        <f>transport!E18</f>
        <v>27.324630985187</v>
      </c>
      <c r="G50" s="975">
        <f>transport!F18</f>
        <v>0</v>
      </c>
      <c r="H50" s="975">
        <f>transport!G18</f>
        <v>5105.0081006578521</v>
      </c>
      <c r="I50" s="975">
        <f>transport!H18</f>
        <v>958.24585846216235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6090.8879155937739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0.49658438461472926</v>
      </c>
      <c r="D52" s="709">
        <f t="shared" ref="D52:Q52" ca="1" si="6">SUM(D48:D51)</f>
        <v>0</v>
      </c>
      <c r="E52" s="709">
        <f t="shared" si="6"/>
        <v>0.23670642115556856</v>
      </c>
      <c r="F52" s="709">
        <f t="shared" si="6"/>
        <v>27.324630985187</v>
      </c>
      <c r="G52" s="709">
        <f t="shared" si="6"/>
        <v>0</v>
      </c>
      <c r="H52" s="709">
        <f t="shared" si="6"/>
        <v>5219.4781483141105</v>
      </c>
      <c r="I52" s="709">
        <f t="shared" si="6"/>
        <v>958.24585846216235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6205.7819285672304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152.59150257981725</v>
      </c>
      <c r="D54" s="975">
        <f ca="1">+landbouw!C12</f>
        <v>0</v>
      </c>
      <c r="E54" s="975">
        <f>+landbouw!D12</f>
        <v>6.7251346744486735</v>
      </c>
      <c r="F54" s="975">
        <f>+landbouw!E12</f>
        <v>1.6908517623860382</v>
      </c>
      <c r="G54" s="975">
        <f>+landbouw!F12</f>
        <v>812.96751173037524</v>
      </c>
      <c r="H54" s="975">
        <f>+landbouw!G12</f>
        <v>0</v>
      </c>
      <c r="I54" s="975">
        <f>+landbouw!H12</f>
        <v>0</v>
      </c>
      <c r="J54" s="975">
        <f>+landbouw!I12</f>
        <v>0</v>
      </c>
      <c r="K54" s="975">
        <f>+landbouw!J12</f>
        <v>22.487406724869196</v>
      </c>
      <c r="L54" s="975">
        <f>+landbouw!K12</f>
        <v>0</v>
      </c>
      <c r="M54" s="975">
        <f>+landbouw!L12</f>
        <v>0</v>
      </c>
      <c r="N54" s="975">
        <f>+landbouw!M12</f>
        <v>0</v>
      </c>
      <c r="O54" s="975">
        <f>+landbouw!N12</f>
        <v>0</v>
      </c>
      <c r="P54" s="975">
        <f>+landbouw!O12</f>
        <v>0</v>
      </c>
      <c r="Q54" s="976">
        <f>+landbouw!P12</f>
        <v>0</v>
      </c>
      <c r="R54" s="708">
        <f ca="1">SUM(C54:Q54)</f>
        <v>996.46240747189643</v>
      </c>
    </row>
    <row r="55" spans="1:18" ht="15" thickBot="1">
      <c r="A55" s="807" t="s">
        <v>895</v>
      </c>
      <c r="B55" s="817"/>
      <c r="C55" s="975">
        <f ca="1">C25*'EF ele_warmte'!B12</f>
        <v>161.75540660721919</v>
      </c>
      <c r="D55" s="975"/>
      <c r="E55" s="975">
        <f>E25*EF_CO2_aardgas</f>
        <v>335.38492232253662</v>
      </c>
      <c r="F55" s="975"/>
      <c r="G55" s="975"/>
      <c r="H55" s="975"/>
      <c r="I55" s="975"/>
      <c r="J55" s="975"/>
      <c r="K55" s="975"/>
      <c r="L55" s="975"/>
      <c r="M55" s="975"/>
      <c r="N55" s="975"/>
      <c r="O55" s="975"/>
      <c r="P55" s="975"/>
      <c r="Q55" s="976"/>
      <c r="R55" s="708">
        <f ca="1">SUM(C55:Q55)</f>
        <v>497.14032892975581</v>
      </c>
    </row>
    <row r="56" spans="1:18" ht="15.75" thickBot="1">
      <c r="A56" s="805" t="s">
        <v>896</v>
      </c>
      <c r="B56" s="818"/>
      <c r="C56" s="709">
        <f ca="1">SUM(C54:C55)</f>
        <v>314.34690918703643</v>
      </c>
      <c r="D56" s="709">
        <f t="shared" ref="D56:Q56" ca="1" si="7">SUM(D54:D55)</f>
        <v>0</v>
      </c>
      <c r="E56" s="709">
        <f t="shared" si="7"/>
        <v>342.11005699698529</v>
      </c>
      <c r="F56" s="709">
        <f t="shared" si="7"/>
        <v>1.6908517623860382</v>
      </c>
      <c r="G56" s="709">
        <f t="shared" si="7"/>
        <v>812.96751173037524</v>
      </c>
      <c r="H56" s="709">
        <f t="shared" si="7"/>
        <v>0</v>
      </c>
      <c r="I56" s="709">
        <f t="shared" si="7"/>
        <v>0</v>
      </c>
      <c r="J56" s="709">
        <f t="shared" si="7"/>
        <v>0</v>
      </c>
      <c r="K56" s="709">
        <f t="shared" si="7"/>
        <v>22.487406724869196</v>
      </c>
      <c r="L56" s="709">
        <f t="shared" si="7"/>
        <v>0</v>
      </c>
      <c r="M56" s="709">
        <f t="shared" si="7"/>
        <v>0</v>
      </c>
      <c r="N56" s="709">
        <f t="shared" si="7"/>
        <v>0</v>
      </c>
      <c r="O56" s="709">
        <f t="shared" si="7"/>
        <v>0</v>
      </c>
      <c r="P56" s="709">
        <f t="shared" si="7"/>
        <v>0</v>
      </c>
      <c r="Q56" s="710">
        <f t="shared" si="7"/>
        <v>0</v>
      </c>
      <c r="R56" s="711">
        <f ca="1">SUM(R54:R55)</f>
        <v>1493.6027364016522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8823.141051582621</v>
      </c>
      <c r="D61" s="717">
        <f t="shared" ref="D61:Q61" ca="1" si="8">D46+D52+D56</f>
        <v>0</v>
      </c>
      <c r="E61" s="717">
        <f t="shared" ca="1" si="8"/>
        <v>12251.054728875066</v>
      </c>
      <c r="F61" s="717">
        <f t="shared" si="8"/>
        <v>366.10519405213597</v>
      </c>
      <c r="G61" s="717">
        <f t="shared" ca="1" si="8"/>
        <v>12502.08067213799</v>
      </c>
      <c r="H61" s="717">
        <f t="shared" si="8"/>
        <v>5219.4781483141105</v>
      </c>
      <c r="I61" s="717">
        <f t="shared" si="8"/>
        <v>958.24585846216235</v>
      </c>
      <c r="J61" s="717">
        <f t="shared" si="8"/>
        <v>0</v>
      </c>
      <c r="K61" s="717">
        <f t="shared" si="8"/>
        <v>350.31837323545102</v>
      </c>
      <c r="L61" s="717">
        <f t="shared" si="8"/>
        <v>0</v>
      </c>
      <c r="M61" s="717">
        <f t="shared" ca="1" si="8"/>
        <v>0</v>
      </c>
      <c r="N61" s="717">
        <f t="shared" si="8"/>
        <v>0</v>
      </c>
      <c r="O61" s="717">
        <f t="shared" ca="1" si="8"/>
        <v>0</v>
      </c>
      <c r="P61" s="717">
        <f t="shared" si="8"/>
        <v>0</v>
      </c>
      <c r="Q61" s="717">
        <f t="shared" si="8"/>
        <v>0</v>
      </c>
      <c r="R61" s="717">
        <f ca="1">R46+R52+R56</f>
        <v>40470.424026659544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0.21453061809310023</v>
      </c>
      <c r="D63" s="761">
        <f t="shared" ca="1" si="9"/>
        <v>0</v>
      </c>
      <c r="E63" s="977">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1203.938919506707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1203.938919506707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19044.050763704956</v>
      </c>
      <c r="C4" s="449">
        <f>huishoudens!C8</f>
        <v>0</v>
      </c>
      <c r="D4" s="449">
        <f>huishoudens!D8</f>
        <v>27326.484393834988</v>
      </c>
      <c r="E4" s="449">
        <f>huishoudens!E8</f>
        <v>1152.164832372624</v>
      </c>
      <c r="F4" s="449">
        <f>huishoudens!F8</f>
        <v>39328.450232410243</v>
      </c>
      <c r="G4" s="449">
        <f>huishoudens!G8</f>
        <v>0</v>
      </c>
      <c r="H4" s="449">
        <f>huishoudens!H8</f>
        <v>0</v>
      </c>
      <c r="I4" s="449">
        <f>huishoudens!I8</f>
        <v>0</v>
      </c>
      <c r="J4" s="449">
        <f>huishoudens!J8</f>
        <v>885.57699031807795</v>
      </c>
      <c r="K4" s="449">
        <f>huishoudens!K8</f>
        <v>0</v>
      </c>
      <c r="L4" s="449">
        <f>huishoudens!L8</f>
        <v>0</v>
      </c>
      <c r="M4" s="449">
        <f>huishoudens!M8</f>
        <v>0</v>
      </c>
      <c r="N4" s="449">
        <f>huishoudens!N8</f>
        <v>5277.9490195279304</v>
      </c>
      <c r="O4" s="449">
        <f>huishoudens!O8</f>
        <v>32.830000000000005</v>
      </c>
      <c r="P4" s="450">
        <f>huishoudens!P8</f>
        <v>247.86666666666667</v>
      </c>
      <c r="Q4" s="451">
        <f>SUM(B4:P4)</f>
        <v>93295.3728988355</v>
      </c>
    </row>
    <row r="5" spans="1:17">
      <c r="A5" s="448" t="s">
        <v>155</v>
      </c>
      <c r="B5" s="449">
        <f ca="1">tertiair!B16</f>
        <v>12682.871687971628</v>
      </c>
      <c r="C5" s="449">
        <f ca="1">tertiair!C16</f>
        <v>0</v>
      </c>
      <c r="D5" s="449">
        <f ca="1">tertiair!D16</f>
        <v>5859.441623612187</v>
      </c>
      <c r="E5" s="449">
        <f>tertiair!E16</f>
        <v>260.04308466315024</v>
      </c>
      <c r="F5" s="449">
        <f ca="1">tertiair!F16</f>
        <v>2412.4300215984676</v>
      </c>
      <c r="G5" s="449">
        <f>tertiair!G16</f>
        <v>0</v>
      </c>
      <c r="H5" s="449">
        <f>tertiair!H16</f>
        <v>0</v>
      </c>
      <c r="I5" s="449">
        <f>tertiair!I16</f>
        <v>0</v>
      </c>
      <c r="J5" s="449">
        <f>tertiair!J16</f>
        <v>0</v>
      </c>
      <c r="K5" s="449">
        <f>tertiair!K16</f>
        <v>0</v>
      </c>
      <c r="L5" s="449">
        <f ca="1">tertiair!L16</f>
        <v>0</v>
      </c>
      <c r="M5" s="449">
        <f>tertiair!M16</f>
        <v>0</v>
      </c>
      <c r="N5" s="449">
        <f ca="1">tertiair!N16</f>
        <v>453.90787580067234</v>
      </c>
      <c r="O5" s="449">
        <f>tertiair!O16</f>
        <v>0</v>
      </c>
      <c r="P5" s="450">
        <f>tertiair!P16</f>
        <v>0</v>
      </c>
      <c r="Q5" s="448">
        <f t="shared" ref="Q5:Q14" ca="1" si="0">SUM(B5:P5)</f>
        <v>21668.694293646106</v>
      </c>
    </row>
    <row r="6" spans="1:17">
      <c r="A6" s="448" t="s">
        <v>193</v>
      </c>
      <c r="B6" s="449">
        <f>'openbare verlichting'!B8</f>
        <v>787.29899999999998</v>
      </c>
      <c r="C6" s="449"/>
      <c r="D6" s="449"/>
      <c r="E6" s="449"/>
      <c r="F6" s="449"/>
      <c r="G6" s="449"/>
      <c r="H6" s="449"/>
      <c r="I6" s="449"/>
      <c r="J6" s="449"/>
      <c r="K6" s="449"/>
      <c r="L6" s="449"/>
      <c r="M6" s="449"/>
      <c r="N6" s="449"/>
      <c r="O6" s="449"/>
      <c r="P6" s="450"/>
      <c r="Q6" s="448">
        <f t="shared" si="0"/>
        <v>787.29899999999998</v>
      </c>
    </row>
    <row r="7" spans="1:17">
      <c r="A7" s="448" t="s">
        <v>111</v>
      </c>
      <c r="B7" s="449">
        <f>landbouw!B8</f>
        <v>711.28076698868608</v>
      </c>
      <c r="C7" s="449">
        <f>landbouw!C8</f>
        <v>0</v>
      </c>
      <c r="D7" s="449">
        <f>landbouw!D8</f>
        <v>33.292745913112242</v>
      </c>
      <c r="E7" s="449">
        <f>landbouw!E8</f>
        <v>7.4486861779120623</v>
      </c>
      <c r="F7" s="449">
        <f>landbouw!F8</f>
        <v>3044.8221413122665</v>
      </c>
      <c r="G7" s="449">
        <f>landbouw!G8</f>
        <v>0</v>
      </c>
      <c r="H7" s="449">
        <f>landbouw!H8</f>
        <v>0</v>
      </c>
      <c r="I7" s="449">
        <f>landbouw!I8</f>
        <v>0</v>
      </c>
      <c r="J7" s="449">
        <f>landbouw!J8</f>
        <v>63.523747810364959</v>
      </c>
      <c r="K7" s="449">
        <f>landbouw!K8</f>
        <v>0</v>
      </c>
      <c r="L7" s="449">
        <f>landbouw!L8</f>
        <v>0</v>
      </c>
      <c r="M7" s="449">
        <f>landbouw!M8</f>
        <v>0</v>
      </c>
      <c r="N7" s="449">
        <f>landbouw!N8</f>
        <v>0</v>
      </c>
      <c r="O7" s="449">
        <f>landbouw!O8</f>
        <v>0</v>
      </c>
      <c r="P7" s="450">
        <f>landbouw!P8</f>
        <v>0</v>
      </c>
      <c r="Q7" s="448">
        <f t="shared" si="0"/>
        <v>3860.3680882023418</v>
      </c>
    </row>
    <row r="8" spans="1:17">
      <c r="A8" s="448" t="s">
        <v>643</v>
      </c>
      <c r="B8" s="449">
        <f>industrie!B18</f>
        <v>7145.8402851455658</v>
      </c>
      <c r="C8" s="449">
        <f>industrie!C18</f>
        <v>0</v>
      </c>
      <c r="D8" s="449">
        <f>industrie!D18</f>
        <v>25768.073811547489</v>
      </c>
      <c r="E8" s="449">
        <f>industrie!E18</f>
        <v>72.768784746441199</v>
      </c>
      <c r="F8" s="449">
        <f>industrie!F18</f>
        <v>2038.5697849711162</v>
      </c>
      <c r="G8" s="449">
        <f>industrie!G18</f>
        <v>0</v>
      </c>
      <c r="H8" s="449">
        <f>industrie!H18</f>
        <v>0</v>
      </c>
      <c r="I8" s="449">
        <f>industrie!I18</f>
        <v>0</v>
      </c>
      <c r="J8" s="449">
        <f>industrie!J18</f>
        <v>40.499186265486678</v>
      </c>
      <c r="K8" s="449">
        <f>industrie!K18</f>
        <v>0</v>
      </c>
      <c r="L8" s="449">
        <f>industrie!L18</f>
        <v>0</v>
      </c>
      <c r="M8" s="449">
        <f>industrie!M18</f>
        <v>0</v>
      </c>
      <c r="N8" s="449">
        <f>industrie!N18</f>
        <v>187.51347358790014</v>
      </c>
      <c r="O8" s="449">
        <f>industrie!O18</f>
        <v>0</v>
      </c>
      <c r="P8" s="450">
        <f>industrie!P18</f>
        <v>0</v>
      </c>
      <c r="Q8" s="448">
        <f t="shared" si="0"/>
        <v>35253.265326264001</v>
      </c>
    </row>
    <row r="9" spans="1:17" s="454" customFormat="1">
      <c r="A9" s="452" t="s">
        <v>562</v>
      </c>
      <c r="B9" s="453">
        <f>transport!B14</f>
        <v>0.33850211248220874</v>
      </c>
      <c r="C9" s="453">
        <f>transport!C14</f>
        <v>0</v>
      </c>
      <c r="D9" s="453">
        <f>transport!D14</f>
        <v>1.171813966116676</v>
      </c>
      <c r="E9" s="453">
        <f>transport!E14</f>
        <v>120.37282372329074</v>
      </c>
      <c r="F9" s="453">
        <f>transport!F14</f>
        <v>0</v>
      </c>
      <c r="G9" s="453">
        <f>transport!G14</f>
        <v>19119.880526808432</v>
      </c>
      <c r="H9" s="453">
        <f>transport!H14</f>
        <v>3848.3769416151099</v>
      </c>
      <c r="I9" s="453">
        <f>transport!I14</f>
        <v>0</v>
      </c>
      <c r="J9" s="453">
        <f>transport!J14</f>
        <v>0</v>
      </c>
      <c r="K9" s="453">
        <f>transport!K14</f>
        <v>0</v>
      </c>
      <c r="L9" s="453">
        <f>transport!L14</f>
        <v>0</v>
      </c>
      <c r="M9" s="453">
        <f>transport!M14</f>
        <v>1000.7905293175445</v>
      </c>
      <c r="N9" s="453">
        <f>transport!N14</f>
        <v>0</v>
      </c>
      <c r="O9" s="453">
        <f>transport!O14</f>
        <v>0</v>
      </c>
      <c r="P9" s="453">
        <f>transport!P14</f>
        <v>0</v>
      </c>
      <c r="Q9" s="452">
        <f>SUM(B9:P9)</f>
        <v>24090.931137542975</v>
      </c>
    </row>
    <row r="10" spans="1:17">
      <c r="A10" s="448" t="s">
        <v>552</v>
      </c>
      <c r="B10" s="449">
        <f>transport!B54</f>
        <v>1.9762461925789625</v>
      </c>
      <c r="C10" s="449">
        <f>transport!C54</f>
        <v>0</v>
      </c>
      <c r="D10" s="449">
        <f>transport!D54</f>
        <v>0</v>
      </c>
      <c r="E10" s="449">
        <f>transport!E54</f>
        <v>0</v>
      </c>
      <c r="F10" s="449">
        <f>transport!F54</f>
        <v>0</v>
      </c>
      <c r="G10" s="449">
        <f>transport!G54</f>
        <v>428.72677024815937</v>
      </c>
      <c r="H10" s="449">
        <f>transport!H54</f>
        <v>0</v>
      </c>
      <c r="I10" s="449">
        <f>transport!I54</f>
        <v>0</v>
      </c>
      <c r="J10" s="449">
        <f>transport!J54</f>
        <v>0</v>
      </c>
      <c r="K10" s="449">
        <f>transport!K54</f>
        <v>0</v>
      </c>
      <c r="L10" s="449">
        <f>transport!L54</f>
        <v>0</v>
      </c>
      <c r="M10" s="449">
        <f>transport!M54</f>
        <v>18.356433455736806</v>
      </c>
      <c r="N10" s="449">
        <f>transport!N54</f>
        <v>0</v>
      </c>
      <c r="O10" s="449">
        <f>transport!O54</f>
        <v>0</v>
      </c>
      <c r="P10" s="450">
        <f>transport!P54</f>
        <v>0</v>
      </c>
      <c r="Q10" s="448">
        <f t="shared" si="0"/>
        <v>449.05944989647514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753.996832923037</v>
      </c>
      <c r="C14" s="456"/>
      <c r="D14" s="456">
        <f>'SEAP template'!E25</f>
        <v>1660.3213976363199</v>
      </c>
      <c r="E14" s="456"/>
      <c r="F14" s="456"/>
      <c r="G14" s="456"/>
      <c r="H14" s="456"/>
      <c r="I14" s="456"/>
      <c r="J14" s="456"/>
      <c r="K14" s="456"/>
      <c r="L14" s="456"/>
      <c r="M14" s="456"/>
      <c r="N14" s="456"/>
      <c r="O14" s="456"/>
      <c r="P14" s="457"/>
      <c r="Q14" s="448">
        <f t="shared" si="0"/>
        <v>2414.3182305593568</v>
      </c>
    </row>
    <row r="15" spans="1:17" s="461" customFormat="1">
      <c r="A15" s="458" t="s">
        <v>556</v>
      </c>
      <c r="B15" s="459">
        <f ca="1">SUM(B4:B14)</f>
        <v>41127.654085038936</v>
      </c>
      <c r="C15" s="459">
        <f t="shared" ref="C15:Q15" ca="1" si="1">SUM(C4:C14)</f>
        <v>0</v>
      </c>
      <c r="D15" s="459">
        <f t="shared" ca="1" si="1"/>
        <v>60648.785786510205</v>
      </c>
      <c r="E15" s="459">
        <f t="shared" si="1"/>
        <v>1612.7982116834185</v>
      </c>
      <c r="F15" s="459">
        <f t="shared" ca="1" si="1"/>
        <v>46824.272180292093</v>
      </c>
      <c r="G15" s="459">
        <f t="shared" si="1"/>
        <v>19548.607297056591</v>
      </c>
      <c r="H15" s="459">
        <f t="shared" si="1"/>
        <v>3848.3769416151099</v>
      </c>
      <c r="I15" s="459">
        <f t="shared" si="1"/>
        <v>0</v>
      </c>
      <c r="J15" s="459">
        <f t="shared" si="1"/>
        <v>989.59992439392954</v>
      </c>
      <c r="K15" s="459">
        <f t="shared" si="1"/>
        <v>0</v>
      </c>
      <c r="L15" s="459">
        <f t="shared" ca="1" si="1"/>
        <v>0</v>
      </c>
      <c r="M15" s="459">
        <f t="shared" si="1"/>
        <v>1019.1469627732813</v>
      </c>
      <c r="N15" s="459">
        <f t="shared" ca="1" si="1"/>
        <v>5919.3703689165031</v>
      </c>
      <c r="O15" s="459">
        <f t="shared" si="1"/>
        <v>32.830000000000005</v>
      </c>
      <c r="P15" s="459">
        <f t="shared" si="1"/>
        <v>247.86666666666667</v>
      </c>
      <c r="Q15" s="459">
        <f t="shared" ca="1" si="1"/>
        <v>181819.30842494674</v>
      </c>
    </row>
    <row r="17" spans="1:17">
      <c r="A17" s="462" t="s">
        <v>557</v>
      </c>
      <c r="B17" s="766">
        <f ca="1">huishoudens!B10</f>
        <v>0.21453061809310026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4085.531981334002</v>
      </c>
      <c r="C22" s="449">
        <f t="shared" ref="C22:C32" ca="1" si="3">C4*$C$17</f>
        <v>0</v>
      </c>
      <c r="D22" s="449">
        <f t="shared" ref="D22:D32" si="4">D4*$D$17</f>
        <v>5519.9498475546679</v>
      </c>
      <c r="E22" s="449">
        <f t="shared" ref="E22:E32" si="5">E4*$E$17</f>
        <v>261.54141694858566</v>
      </c>
      <c r="F22" s="449">
        <f t="shared" ref="F22:F32" si="6">F4*$F$17</f>
        <v>10500.696212053535</v>
      </c>
      <c r="G22" s="449">
        <f t="shared" ref="G22:G32" si="7">G4*$G$17</f>
        <v>0</v>
      </c>
      <c r="H22" s="449">
        <f t="shared" ref="H22:H32" si="8">H4*$H$17</f>
        <v>0</v>
      </c>
      <c r="I22" s="449">
        <f t="shared" ref="I22:I32" si="9">I4*$I$17</f>
        <v>0</v>
      </c>
      <c r="J22" s="449">
        <f t="shared" ref="J22:J32" si="10">J4*$J$17</f>
        <v>313.49425457259957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20681.213712463392</v>
      </c>
    </row>
    <row r="23" spans="1:17">
      <c r="A23" s="448" t="s">
        <v>155</v>
      </c>
      <c r="B23" s="449">
        <f t="shared" ca="1" si="2"/>
        <v>2720.8643024160351</v>
      </c>
      <c r="C23" s="449">
        <f t="shared" ca="1" si="3"/>
        <v>0</v>
      </c>
      <c r="D23" s="449">
        <f t="shared" ca="1" si="4"/>
        <v>1183.6072079696619</v>
      </c>
      <c r="E23" s="449">
        <f t="shared" si="5"/>
        <v>59.029780218535109</v>
      </c>
      <c r="F23" s="449">
        <f t="shared" ca="1" si="6"/>
        <v>644.11881576679093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4607.6201063710232</v>
      </c>
    </row>
    <row r="24" spans="1:17">
      <c r="A24" s="448" t="s">
        <v>193</v>
      </c>
      <c r="B24" s="449">
        <f t="shared" ca="1" si="2"/>
        <v>168.89974109407973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168.89974109407973</v>
      </c>
    </row>
    <row r="25" spans="1:17">
      <c r="A25" s="448" t="s">
        <v>111</v>
      </c>
      <c r="B25" s="449">
        <f t="shared" ca="1" si="2"/>
        <v>152.59150257981725</v>
      </c>
      <c r="C25" s="449">
        <f t="shared" ca="1" si="3"/>
        <v>0</v>
      </c>
      <c r="D25" s="449">
        <f t="shared" si="4"/>
        <v>6.7251346744486735</v>
      </c>
      <c r="E25" s="449">
        <f t="shared" si="5"/>
        <v>1.6908517623860382</v>
      </c>
      <c r="F25" s="449">
        <f t="shared" si="6"/>
        <v>812.96751173037524</v>
      </c>
      <c r="G25" s="449">
        <f t="shared" si="7"/>
        <v>0</v>
      </c>
      <c r="H25" s="449">
        <f t="shared" si="8"/>
        <v>0</v>
      </c>
      <c r="I25" s="449">
        <f t="shared" si="9"/>
        <v>0</v>
      </c>
      <c r="J25" s="449">
        <f t="shared" si="10"/>
        <v>22.487406724869196</v>
      </c>
      <c r="K25" s="449">
        <f t="shared" si="11"/>
        <v>0</v>
      </c>
      <c r="L25" s="449">
        <f t="shared" si="12"/>
        <v>0</v>
      </c>
      <c r="M25" s="449">
        <f t="shared" si="13"/>
        <v>0</v>
      </c>
      <c r="N25" s="449">
        <f t="shared" si="14"/>
        <v>0</v>
      </c>
      <c r="O25" s="449">
        <f t="shared" si="15"/>
        <v>0</v>
      </c>
      <c r="P25" s="450">
        <f t="shared" si="16"/>
        <v>0</v>
      </c>
      <c r="Q25" s="448">
        <f t="shared" ca="1" si="17"/>
        <v>996.46240747189643</v>
      </c>
    </row>
    <row r="26" spans="1:17">
      <c r="A26" s="448" t="s">
        <v>643</v>
      </c>
      <c r="B26" s="449">
        <f t="shared" ca="1" si="2"/>
        <v>1533.001533166854</v>
      </c>
      <c r="C26" s="449">
        <f t="shared" ca="1" si="3"/>
        <v>0</v>
      </c>
      <c r="D26" s="449">
        <f t="shared" si="4"/>
        <v>5205.1509099325931</v>
      </c>
      <c r="E26" s="449">
        <f t="shared" si="5"/>
        <v>16.518514137442153</v>
      </c>
      <c r="F26" s="449">
        <f t="shared" si="6"/>
        <v>544.29813258728802</v>
      </c>
      <c r="G26" s="449">
        <f t="shared" si="7"/>
        <v>0</v>
      </c>
      <c r="H26" s="449">
        <f t="shared" si="8"/>
        <v>0</v>
      </c>
      <c r="I26" s="449">
        <f t="shared" si="9"/>
        <v>0</v>
      </c>
      <c r="J26" s="449">
        <f t="shared" si="10"/>
        <v>14.336711937982283</v>
      </c>
      <c r="K26" s="449">
        <f t="shared" si="11"/>
        <v>0</v>
      </c>
      <c r="L26" s="449">
        <f t="shared" si="12"/>
        <v>0</v>
      </c>
      <c r="M26" s="449">
        <f t="shared" si="13"/>
        <v>0</v>
      </c>
      <c r="N26" s="449">
        <f t="shared" si="14"/>
        <v>0</v>
      </c>
      <c r="O26" s="449">
        <f t="shared" si="15"/>
        <v>0</v>
      </c>
      <c r="P26" s="450">
        <f t="shared" si="16"/>
        <v>0</v>
      </c>
      <c r="Q26" s="448">
        <f t="shared" ca="1" si="17"/>
        <v>7313.3058017621597</v>
      </c>
    </row>
    <row r="27" spans="1:17" s="454" customFormat="1">
      <c r="A27" s="452" t="s">
        <v>562</v>
      </c>
      <c r="B27" s="760">
        <f t="shared" ca="1" si="2"/>
        <v>7.2619067416628394E-2</v>
      </c>
      <c r="C27" s="453">
        <f t="shared" ca="1" si="3"/>
        <v>0</v>
      </c>
      <c r="D27" s="453">
        <f t="shared" si="4"/>
        <v>0.23670642115556856</v>
      </c>
      <c r="E27" s="453">
        <f t="shared" si="5"/>
        <v>27.324630985187</v>
      </c>
      <c r="F27" s="453">
        <f t="shared" si="6"/>
        <v>0</v>
      </c>
      <c r="G27" s="453">
        <f t="shared" si="7"/>
        <v>5105.0081006578521</v>
      </c>
      <c r="H27" s="453">
        <f t="shared" si="8"/>
        <v>958.24585846216235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6090.8879155937739</v>
      </c>
    </row>
    <row r="28" spans="1:17">
      <c r="A28" s="448" t="s">
        <v>552</v>
      </c>
      <c r="B28" s="449">
        <f t="shared" ca="1" si="2"/>
        <v>0.42396531719810088</v>
      </c>
      <c r="C28" s="449">
        <f t="shared" ca="1" si="3"/>
        <v>0</v>
      </c>
      <c r="D28" s="449">
        <f t="shared" si="4"/>
        <v>0</v>
      </c>
      <c r="E28" s="449">
        <f t="shared" si="5"/>
        <v>0</v>
      </c>
      <c r="F28" s="449">
        <f t="shared" si="6"/>
        <v>0</v>
      </c>
      <c r="G28" s="449">
        <f t="shared" si="7"/>
        <v>114.47004765625856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114.89401297345665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161.75540660721919</v>
      </c>
      <c r="C32" s="449">
        <f t="shared" ca="1" si="3"/>
        <v>0</v>
      </c>
      <c r="D32" s="449">
        <f t="shared" si="4"/>
        <v>335.38492232253662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497.14032892975581</v>
      </c>
    </row>
    <row r="33" spans="1:17" s="461" customFormat="1">
      <c r="A33" s="458" t="s">
        <v>556</v>
      </c>
      <c r="B33" s="459">
        <f ca="1">SUM(B22:B32)</f>
        <v>8823.1410515826228</v>
      </c>
      <c r="C33" s="459">
        <f t="shared" ref="C33:Q33" ca="1" si="19">SUM(C22:C32)</f>
        <v>0</v>
      </c>
      <c r="D33" s="459">
        <f t="shared" ca="1" si="19"/>
        <v>12251.054728875066</v>
      </c>
      <c r="E33" s="459">
        <f t="shared" si="19"/>
        <v>366.10519405213597</v>
      </c>
      <c r="F33" s="459">
        <f t="shared" ca="1" si="19"/>
        <v>12502.08067213799</v>
      </c>
      <c r="G33" s="459">
        <f t="shared" si="19"/>
        <v>5219.4781483141105</v>
      </c>
      <c r="H33" s="459">
        <f t="shared" si="19"/>
        <v>958.24585846216235</v>
      </c>
      <c r="I33" s="459">
        <f t="shared" si="19"/>
        <v>0</v>
      </c>
      <c r="J33" s="459">
        <f t="shared" si="19"/>
        <v>350.31837323545102</v>
      </c>
      <c r="K33" s="459">
        <f t="shared" si="19"/>
        <v>0</v>
      </c>
      <c r="L33" s="459">
        <f t="shared" ca="1" si="19"/>
        <v>0</v>
      </c>
      <c r="M33" s="459">
        <f t="shared" si="19"/>
        <v>0</v>
      </c>
      <c r="N33" s="459">
        <f t="shared" ca="1" si="19"/>
        <v>0</v>
      </c>
      <c r="O33" s="459">
        <f t="shared" si="19"/>
        <v>0</v>
      </c>
      <c r="P33" s="459">
        <f t="shared" si="19"/>
        <v>0</v>
      </c>
      <c r="Q33" s="459">
        <f t="shared" ca="1" si="19"/>
        <v>40470.42402665953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1203.938919506707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1203.938919506707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0.21453061809310026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0.21453061809310026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0.21453061809310026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0.21453061809310026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4186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451</v>
      </c>
      <c r="C14" s="326"/>
      <c r="D14" s="326"/>
      <c r="E14" s="326"/>
      <c r="F14" s="326"/>
    </row>
    <row r="15" spans="1:6">
      <c r="A15" s="1282" t="s">
        <v>183</v>
      </c>
      <c r="B15" s="1283">
        <v>678</v>
      </c>
      <c r="C15" s="326"/>
      <c r="D15" s="326"/>
      <c r="E15" s="326"/>
      <c r="F15" s="326"/>
    </row>
    <row r="16" spans="1:6">
      <c r="A16" s="1282" t="s">
        <v>6</v>
      </c>
      <c r="B16" s="1283">
        <v>210</v>
      </c>
      <c r="C16" s="326"/>
      <c r="D16" s="326"/>
      <c r="E16" s="326"/>
      <c r="F16" s="326"/>
    </row>
    <row r="17" spans="1:6">
      <c r="A17" s="1282" t="s">
        <v>7</v>
      </c>
      <c r="B17" s="1283">
        <v>46</v>
      </c>
      <c r="C17" s="326"/>
      <c r="D17" s="326"/>
      <c r="E17" s="326"/>
      <c r="F17" s="326"/>
    </row>
    <row r="18" spans="1:6">
      <c r="A18" s="1282" t="s">
        <v>8</v>
      </c>
      <c r="B18" s="1283">
        <v>167</v>
      </c>
      <c r="C18" s="326"/>
      <c r="D18" s="326"/>
      <c r="E18" s="326"/>
      <c r="F18" s="326"/>
    </row>
    <row r="19" spans="1:6">
      <c r="A19" s="1282" t="s">
        <v>9</v>
      </c>
      <c r="B19" s="1283">
        <v>175</v>
      </c>
      <c r="C19" s="326"/>
      <c r="D19" s="326"/>
      <c r="E19" s="326"/>
      <c r="F19" s="326"/>
    </row>
    <row r="20" spans="1:6">
      <c r="A20" s="1282" t="s">
        <v>10</v>
      </c>
      <c r="B20" s="1283">
        <v>84</v>
      </c>
      <c r="C20" s="326"/>
      <c r="D20" s="326"/>
      <c r="E20" s="326"/>
      <c r="F20" s="326"/>
    </row>
    <row r="21" spans="1:6">
      <c r="A21" s="1282" t="s">
        <v>11</v>
      </c>
      <c r="B21" s="1283">
        <v>0</v>
      </c>
      <c r="C21" s="326"/>
      <c r="D21" s="326"/>
      <c r="E21" s="326"/>
      <c r="F21" s="326"/>
    </row>
    <row r="22" spans="1:6">
      <c r="A22" s="1282" t="s">
        <v>12</v>
      </c>
      <c r="B22" s="1283">
        <v>206</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735</v>
      </c>
      <c r="C27" s="326"/>
      <c r="D27" s="326"/>
      <c r="E27" s="326"/>
      <c r="F27" s="326"/>
    </row>
    <row r="28" spans="1:6" s="43" customFormat="1">
      <c r="A28" s="1284" t="s">
        <v>18</v>
      </c>
      <c r="B28" s="1285">
        <v>32727</v>
      </c>
      <c r="C28" s="332"/>
      <c r="D28" s="332"/>
      <c r="E28" s="332"/>
      <c r="F28" s="332"/>
    </row>
    <row r="29" spans="1:6">
      <c r="A29" s="1284" t="s">
        <v>978</v>
      </c>
      <c r="B29" s="1285">
        <v>57</v>
      </c>
      <c r="C29" s="332"/>
      <c r="D29" s="332"/>
      <c r="E29" s="332"/>
      <c r="F29" s="332"/>
    </row>
    <row r="30" spans="1:6">
      <c r="A30" s="1277" t="s">
        <v>979</v>
      </c>
      <c r="B30" s="1286">
        <v>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95860.535009024301</v>
      </c>
      <c r="E38" s="1283">
        <v>0</v>
      </c>
      <c r="F38" s="1283">
        <v>0</v>
      </c>
    </row>
    <row r="39" spans="1:6">
      <c r="A39" s="1282" t="s">
        <v>29</v>
      </c>
      <c r="B39" s="1282" t="s">
        <v>30</v>
      </c>
      <c r="C39" s="1283">
        <v>1880</v>
      </c>
      <c r="D39" s="1283">
        <v>30295437.2437195</v>
      </c>
      <c r="E39" s="1283">
        <v>4283</v>
      </c>
      <c r="F39" s="1283">
        <v>18111261.1697358</v>
      </c>
    </row>
    <row r="40" spans="1:6">
      <c r="A40" s="1282" t="s">
        <v>29</v>
      </c>
      <c r="B40" s="1282" t="s">
        <v>28</v>
      </c>
      <c r="C40" s="1283">
        <v>0</v>
      </c>
      <c r="D40" s="1283">
        <v>0</v>
      </c>
      <c r="E40" s="1283">
        <v>0</v>
      </c>
      <c r="F40" s="1283">
        <v>0</v>
      </c>
    </row>
    <row r="41" spans="1:6">
      <c r="A41" s="1282" t="s">
        <v>31</v>
      </c>
      <c r="B41" s="1282" t="s">
        <v>32</v>
      </c>
      <c r="C41" s="1283">
        <v>10</v>
      </c>
      <c r="D41" s="1283">
        <v>322184.48665208003</v>
      </c>
      <c r="E41" s="1283">
        <v>49</v>
      </c>
      <c r="F41" s="1283">
        <v>1062633.2647255801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20</v>
      </c>
      <c r="D48" s="1283">
        <v>28138739.639757</v>
      </c>
      <c r="E48" s="1283">
        <v>27</v>
      </c>
      <c r="F48" s="1283">
        <v>5870169.1521316804</v>
      </c>
    </row>
    <row r="49" spans="1:6">
      <c r="A49" s="1282" t="s">
        <v>31</v>
      </c>
      <c r="B49" s="1282" t="s">
        <v>39</v>
      </c>
      <c r="C49" s="1283">
        <v>0</v>
      </c>
      <c r="D49" s="1283">
        <v>0</v>
      </c>
      <c r="E49" s="1283">
        <v>0</v>
      </c>
      <c r="F49" s="1283">
        <v>0</v>
      </c>
    </row>
    <row r="50" spans="1:6">
      <c r="A50" s="1282" t="s">
        <v>31</v>
      </c>
      <c r="B50" s="1282" t="s">
        <v>40</v>
      </c>
      <c r="C50" s="1283">
        <v>3</v>
      </c>
      <c r="D50" s="1283">
        <v>106785.199031595</v>
      </c>
      <c r="E50" s="1283">
        <v>6</v>
      </c>
      <c r="F50" s="1283">
        <v>213037.86828830501</v>
      </c>
    </row>
    <row r="51" spans="1:6">
      <c r="A51" s="1282" t="s">
        <v>41</v>
      </c>
      <c r="B51" s="1282" t="s">
        <v>42</v>
      </c>
      <c r="C51" s="1283">
        <v>0</v>
      </c>
      <c r="D51" s="1283">
        <v>0</v>
      </c>
      <c r="E51" s="1283">
        <v>12</v>
      </c>
      <c r="F51" s="1283">
        <v>619142.43123075098</v>
      </c>
    </row>
    <row r="52" spans="1:6">
      <c r="A52" s="1282" t="s">
        <v>41</v>
      </c>
      <c r="B52" s="1282" t="s">
        <v>28</v>
      </c>
      <c r="C52" s="1283">
        <v>2</v>
      </c>
      <c r="D52" s="1283">
        <v>36909.917863760798</v>
      </c>
      <c r="E52" s="1283">
        <v>6</v>
      </c>
      <c r="F52" s="1283">
        <v>92138.3357579351</v>
      </c>
    </row>
    <row r="53" spans="1:6">
      <c r="A53" s="1282" t="s">
        <v>43</v>
      </c>
      <c r="B53" s="1282" t="s">
        <v>44</v>
      </c>
      <c r="C53" s="1283">
        <v>79</v>
      </c>
      <c r="D53" s="1283">
        <v>1660321.39763632</v>
      </c>
      <c r="E53" s="1283">
        <v>152</v>
      </c>
      <c r="F53" s="1283">
        <v>753996.832923037</v>
      </c>
    </row>
    <row r="54" spans="1:6">
      <c r="A54" s="1282" t="s">
        <v>45</v>
      </c>
      <c r="B54" s="1282" t="s">
        <v>46</v>
      </c>
      <c r="C54" s="1283">
        <v>0</v>
      </c>
      <c r="D54" s="1283">
        <v>0</v>
      </c>
      <c r="E54" s="1283">
        <v>1</v>
      </c>
      <c r="F54" s="1283">
        <v>787299</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9</v>
      </c>
      <c r="D57" s="1283">
        <v>650173.78325201396</v>
      </c>
      <c r="E57" s="1283">
        <v>54</v>
      </c>
      <c r="F57" s="1283">
        <v>1063189.07988273</v>
      </c>
    </row>
    <row r="58" spans="1:6">
      <c r="A58" s="1282" t="s">
        <v>48</v>
      </c>
      <c r="B58" s="1282" t="s">
        <v>50</v>
      </c>
      <c r="C58" s="1283">
        <v>0</v>
      </c>
      <c r="D58" s="1283">
        <v>0</v>
      </c>
      <c r="E58" s="1283">
        <v>3</v>
      </c>
      <c r="F58" s="1283">
        <v>51445.537891426298</v>
      </c>
    </row>
    <row r="59" spans="1:6">
      <c r="A59" s="1282" t="s">
        <v>48</v>
      </c>
      <c r="B59" s="1282" t="s">
        <v>51</v>
      </c>
      <c r="C59" s="1283">
        <v>8</v>
      </c>
      <c r="D59" s="1283">
        <v>162796.91850397299</v>
      </c>
      <c r="E59" s="1283">
        <v>74</v>
      </c>
      <c r="F59" s="1283">
        <v>2455815.8242299301</v>
      </c>
    </row>
    <row r="60" spans="1:6">
      <c r="A60" s="1282" t="s">
        <v>48</v>
      </c>
      <c r="B60" s="1282" t="s">
        <v>52</v>
      </c>
      <c r="C60" s="1283">
        <v>16</v>
      </c>
      <c r="D60" s="1283">
        <v>974574.86654170998</v>
      </c>
      <c r="E60" s="1283">
        <v>33</v>
      </c>
      <c r="F60" s="1283">
        <v>814188.568255472</v>
      </c>
    </row>
    <row r="61" spans="1:6">
      <c r="A61" s="1282" t="s">
        <v>48</v>
      </c>
      <c r="B61" s="1282" t="s">
        <v>53</v>
      </c>
      <c r="C61" s="1283">
        <v>32</v>
      </c>
      <c r="D61" s="1283">
        <v>1959385.4145812499</v>
      </c>
      <c r="E61" s="1283">
        <v>76</v>
      </c>
      <c r="F61" s="1283">
        <v>1314317.5515276</v>
      </c>
    </row>
    <row r="62" spans="1:6">
      <c r="A62" s="1282" t="s">
        <v>48</v>
      </c>
      <c r="B62" s="1282" t="s">
        <v>54</v>
      </c>
      <c r="C62" s="1283">
        <v>0</v>
      </c>
      <c r="D62" s="1283">
        <v>0</v>
      </c>
      <c r="E62" s="1283">
        <v>3</v>
      </c>
      <c r="F62" s="1283">
        <v>38149.543365101803</v>
      </c>
    </row>
    <row r="63" spans="1:6">
      <c r="A63" s="1282" t="s">
        <v>48</v>
      </c>
      <c r="B63" s="1282" t="s">
        <v>28</v>
      </c>
      <c r="C63" s="1283">
        <v>63</v>
      </c>
      <c r="D63" s="1283">
        <v>2749124.0322121698</v>
      </c>
      <c r="E63" s="1283">
        <v>78</v>
      </c>
      <c r="F63" s="1283">
        <v>6945765.5828193696</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2646692.3118371698</v>
      </c>
      <c r="E68" s="1286">
        <v>12</v>
      </c>
      <c r="F68" s="1286">
        <v>217231.05540004699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26182240</v>
      </c>
      <c r="E73" s="447"/>
      <c r="F73" s="326"/>
    </row>
    <row r="74" spans="1:6">
      <c r="A74" s="1282" t="s">
        <v>63</v>
      </c>
      <c r="B74" s="1282" t="s">
        <v>760</v>
      </c>
      <c r="C74" s="1296" t="s">
        <v>761</v>
      </c>
      <c r="D74" s="1297">
        <v>1060583.2330449324</v>
      </c>
      <c r="E74" s="447"/>
      <c r="F74" s="326"/>
    </row>
    <row r="75" spans="1:6">
      <c r="A75" s="1282" t="s">
        <v>64</v>
      </c>
      <c r="B75" s="1282" t="s">
        <v>758</v>
      </c>
      <c r="C75" s="1296" t="s">
        <v>762</v>
      </c>
      <c r="D75" s="1297">
        <v>5224134</v>
      </c>
      <c r="E75" s="447"/>
      <c r="F75" s="326"/>
    </row>
    <row r="76" spans="1:6">
      <c r="A76" s="1282" t="s">
        <v>64</v>
      </c>
      <c r="B76" s="1282" t="s">
        <v>760</v>
      </c>
      <c r="C76" s="1296" t="s">
        <v>763</v>
      </c>
      <c r="D76" s="1297">
        <v>147285.23304493245</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117587.53391013511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932.78959396915616</v>
      </c>
      <c r="C91" s="326"/>
      <c r="D91" s="326"/>
      <c r="E91" s="326"/>
      <c r="F91" s="326"/>
    </row>
    <row r="92" spans="1:6">
      <c r="A92" s="1277" t="s">
        <v>68</v>
      </c>
      <c r="B92" s="1278">
        <v>271.14932553755091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846</v>
      </c>
      <c r="C97" s="326"/>
      <c r="D97" s="326"/>
      <c r="E97" s="326"/>
      <c r="F97" s="326"/>
    </row>
    <row r="98" spans="1:6">
      <c r="A98" s="1282" t="s">
        <v>71</v>
      </c>
      <c r="B98" s="1283">
        <v>4</v>
      </c>
      <c r="C98" s="326"/>
      <c r="D98" s="326"/>
      <c r="E98" s="326"/>
      <c r="F98" s="326"/>
    </row>
    <row r="99" spans="1:6">
      <c r="A99" s="1282" t="s">
        <v>72</v>
      </c>
      <c r="B99" s="1283">
        <v>80</v>
      </c>
      <c r="C99" s="326"/>
      <c r="D99" s="326"/>
      <c r="E99" s="326"/>
      <c r="F99" s="326"/>
    </row>
    <row r="100" spans="1:6">
      <c r="A100" s="1282" t="s">
        <v>73</v>
      </c>
      <c r="B100" s="1283">
        <v>171</v>
      </c>
      <c r="C100" s="326"/>
      <c r="D100" s="326"/>
      <c r="E100" s="326"/>
      <c r="F100" s="326"/>
    </row>
    <row r="101" spans="1:6">
      <c r="A101" s="1282" t="s">
        <v>74</v>
      </c>
      <c r="B101" s="1283">
        <v>55</v>
      </c>
      <c r="C101" s="326"/>
      <c r="D101" s="326"/>
      <c r="E101" s="326"/>
      <c r="F101" s="326"/>
    </row>
    <row r="102" spans="1:6">
      <c r="A102" s="1282" t="s">
        <v>75</v>
      </c>
      <c r="B102" s="1283">
        <v>38</v>
      </c>
      <c r="C102" s="326"/>
      <c r="D102" s="326"/>
      <c r="E102" s="326"/>
      <c r="F102" s="326"/>
    </row>
    <row r="103" spans="1:6">
      <c r="A103" s="1282" t="s">
        <v>76</v>
      </c>
      <c r="B103" s="1283">
        <v>101</v>
      </c>
      <c r="C103" s="326"/>
      <c r="D103" s="326"/>
      <c r="E103" s="326"/>
      <c r="F103" s="326"/>
    </row>
    <row r="104" spans="1:6">
      <c r="A104" s="1282" t="s">
        <v>77</v>
      </c>
      <c r="B104" s="1283">
        <v>2194</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7</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14</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41127.654085038936</v>
      </c>
      <c r="C3" s="43" t="s">
        <v>169</v>
      </c>
      <c r="D3" s="43"/>
      <c r="E3" s="156"/>
      <c r="F3" s="43"/>
      <c r="G3" s="43"/>
      <c r="H3" s="43"/>
      <c r="I3" s="43"/>
      <c r="J3" s="43"/>
      <c r="K3" s="96"/>
    </row>
    <row r="4" spans="1:11">
      <c r="A4" s="354" t="s">
        <v>170</v>
      </c>
      <c r="B4" s="49">
        <f>IF(ISERROR('SEAP template'!B78+'SEAP template'!C78),0,'SEAP template'!B78+'SEAP template'!C78)</f>
        <v>1203.938919506707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0.21453061809310026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787.29899999999998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787.29899999999998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0.21453061809310026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168.89974109407973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18111.261169735801</v>
      </c>
      <c r="C5" s="17">
        <f>IF(ISERROR('Eigen informatie GS &amp; warmtenet'!B57),0,'Eigen informatie GS &amp; warmtenet'!B57)</f>
        <v>0</v>
      </c>
      <c r="D5" s="30">
        <f>(SUM(HH_hh_gas_kWh,HH_rest_gas_kWh)/1000)*0.902</f>
        <v>27326.484393834988</v>
      </c>
      <c r="E5" s="17">
        <f>B32*B41</f>
        <v>1152.164832372624</v>
      </c>
      <c r="F5" s="17">
        <f>B36*B45</f>
        <v>39328.450232410243</v>
      </c>
      <c r="G5" s="18"/>
      <c r="H5" s="17"/>
      <c r="I5" s="17"/>
      <c r="J5" s="17">
        <f>B35*B44+C35*C44</f>
        <v>885.57699031807795</v>
      </c>
      <c r="K5" s="17"/>
      <c r="L5" s="17"/>
      <c r="M5" s="17"/>
      <c r="N5" s="17">
        <f>B34*B43+C34*C43</f>
        <v>5277.9490195279304</v>
      </c>
      <c r="O5" s="17">
        <f>B52*B53*B54</f>
        <v>32.830000000000005</v>
      </c>
      <c r="P5" s="17">
        <f>B60*B61*B62/1000-B60*B61*B62/1000/B63</f>
        <v>247.86666666666667</v>
      </c>
    </row>
    <row r="6" spans="1:16">
      <c r="A6" s="16" t="s">
        <v>621</v>
      </c>
      <c r="B6" s="768">
        <f>kWh_PV_kleiner_dan_10kW</f>
        <v>932.78959396915616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19044.050763704956</v>
      </c>
      <c r="C8" s="21">
        <f>C5</f>
        <v>0</v>
      </c>
      <c r="D8" s="21">
        <f>D5</f>
        <v>27326.484393834988</v>
      </c>
      <c r="E8" s="21">
        <f>E5</f>
        <v>1152.164832372624</v>
      </c>
      <c r="F8" s="21">
        <f>F5</f>
        <v>39328.450232410243</v>
      </c>
      <c r="G8" s="21"/>
      <c r="H8" s="21"/>
      <c r="I8" s="21"/>
      <c r="J8" s="21">
        <f>J5</f>
        <v>885.57699031807795</v>
      </c>
      <c r="K8" s="21"/>
      <c r="L8" s="21">
        <f>L5</f>
        <v>0</v>
      </c>
      <c r="M8" s="21">
        <f>M5</f>
        <v>0</v>
      </c>
      <c r="N8" s="21">
        <f>N5</f>
        <v>5277.9490195279304</v>
      </c>
      <c r="O8" s="21">
        <f>O5</f>
        <v>32.830000000000005</v>
      </c>
      <c r="P8" s="21">
        <f>P5</f>
        <v>247.86666666666667</v>
      </c>
    </row>
    <row r="9" spans="1:16">
      <c r="B9" s="19"/>
      <c r="C9" s="19"/>
      <c r="D9" s="256"/>
      <c r="E9" s="19"/>
      <c r="F9" s="19"/>
      <c r="G9" s="19"/>
      <c r="H9" s="19"/>
      <c r="I9" s="19"/>
      <c r="J9" s="19"/>
      <c r="K9" s="19"/>
      <c r="L9" s="19"/>
      <c r="M9" s="19"/>
      <c r="N9" s="19"/>
      <c r="O9" s="19"/>
      <c r="P9" s="19"/>
    </row>
    <row r="10" spans="1:16">
      <c r="A10" s="24" t="s">
        <v>213</v>
      </c>
      <c r="B10" s="25">
        <f ca="1">'EF ele_warmte'!B12</f>
        <v>0.21453061809310026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4085.531981334002</v>
      </c>
      <c r="C12" s="23">
        <f ca="1">C10*C8</f>
        <v>0</v>
      </c>
      <c r="D12" s="23">
        <f>D8*D10</f>
        <v>5519.9498475546679</v>
      </c>
      <c r="E12" s="23">
        <f>E10*E8</f>
        <v>261.54141694858566</v>
      </c>
      <c r="F12" s="23">
        <f>F10*F8</f>
        <v>10500.696212053535</v>
      </c>
      <c r="G12" s="23"/>
      <c r="H12" s="23"/>
      <c r="I12" s="23"/>
      <c r="J12" s="23">
        <f>J10*J8</f>
        <v>313.49425457259957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4186</v>
      </c>
      <c r="C26" s="36"/>
      <c r="D26" s="226"/>
    </row>
    <row r="27" spans="1:5" s="15" customFormat="1">
      <c r="A27" s="228" t="s">
        <v>701</v>
      </c>
      <c r="B27" s="37">
        <f>SUM(HH_hh_gas_aantal,HH_rest_gas_aantal)</f>
        <v>1880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1786</v>
      </c>
      <c r="C31" s="34" t="s">
        <v>110</v>
      </c>
      <c r="D31" s="172"/>
    </row>
    <row r="32" spans="1:5">
      <c r="A32" s="169" t="s">
        <v>72</v>
      </c>
      <c r="B32" s="33">
        <f>IF((B21*($B$26-($B$27-0.05*$B$27)-$B$60))&lt;0,0,B21*($B$26-($B$27-0.05*$B$27)-$B$60))</f>
        <v>16.922800370695743</v>
      </c>
      <c r="C32" s="34" t="s">
        <v>110</v>
      </c>
      <c r="D32" s="172"/>
    </row>
    <row r="33" spans="1:6">
      <c r="A33" s="169" t="s">
        <v>73</v>
      </c>
      <c r="B33" s="33">
        <f>IF((B22*($B$26-($B$27-0.05*$B$27)-$B$60))&lt;0,0,B22*($B$26-($B$27-0.05*$B$27)-$B$60))</f>
        <v>485.0051562023209</v>
      </c>
      <c r="C33" s="34" t="s">
        <v>110</v>
      </c>
      <c r="D33" s="172"/>
    </row>
    <row r="34" spans="1:6">
      <c r="A34" s="169" t="s">
        <v>74</v>
      </c>
      <c r="B34" s="33">
        <f>IF((B24*($B$26-($B$27-0.05*$B$27)-$B$60))&lt;0,0,B24*($B$26-($B$27-0.05*$B$27)-$B$60))</f>
        <v>96.715153836000653</v>
      </c>
      <c r="C34" s="33">
        <f>B26*C24</f>
        <v>855.94329525977673</v>
      </c>
      <c r="D34" s="231"/>
    </row>
    <row r="35" spans="1:6">
      <c r="A35" s="169" t="s">
        <v>76</v>
      </c>
      <c r="B35" s="33">
        <f>IF((B19*($B$26-($B$27-0.05*$B$27)-$B$60))&lt;0,0,B19*($B$26-($B$27-0.05*$B$27)-$B$60))</f>
        <v>50.365477293737335</v>
      </c>
      <c r="C35" s="33">
        <f>B35/2</f>
        <v>25.182738646868668</v>
      </c>
      <c r="D35" s="231"/>
    </row>
    <row r="36" spans="1:6">
      <c r="A36" s="169" t="s">
        <v>77</v>
      </c>
      <c r="B36" s="33">
        <f>IF((B18*($B$26-($B$27-0.05*$B$27)-$B$60))&lt;0,0,B18*($B$26-($B$27-0.05*$B$27)-$B$60))</f>
        <v>1737.9914122972452</v>
      </c>
      <c r="C36" s="34" t="s">
        <v>110</v>
      </c>
      <c r="D36" s="172"/>
    </row>
    <row r="37" spans="1:6">
      <c r="A37" s="169" t="s">
        <v>78</v>
      </c>
      <c r="B37" s="33">
        <f>B60</f>
        <v>13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12682.871687971628</v>
      </c>
      <c r="C5" s="17">
        <f>IF(ISERROR('Eigen informatie GS &amp; warmtenet'!B58),0,'Eigen informatie GS &amp; warmtenet'!B58)</f>
        <v>0</v>
      </c>
      <c r="D5" s="30">
        <f>SUM(D6:D12)</f>
        <v>5859.441623612187</v>
      </c>
      <c r="E5" s="17">
        <f>SUM(E6:E12)</f>
        <v>260.04308466315024</v>
      </c>
      <c r="F5" s="17">
        <f>SUM(F6:F12)</f>
        <v>2412.4300215984676</v>
      </c>
      <c r="G5" s="18"/>
      <c r="H5" s="17"/>
      <c r="I5" s="17"/>
      <c r="J5" s="17">
        <f>SUM(J6:J12)</f>
        <v>0</v>
      </c>
      <c r="K5" s="17"/>
      <c r="L5" s="17"/>
      <c r="M5" s="17"/>
      <c r="N5" s="17">
        <f>SUM(N6:N12)</f>
        <v>453.90787580067234</v>
      </c>
      <c r="O5" s="17">
        <f>B38*B39*B40</f>
        <v>0</v>
      </c>
      <c r="P5" s="17">
        <f>B46*B47*B48/1000-B46*B47*B48/1000/B49</f>
        <v>0</v>
      </c>
      <c r="R5" s="32"/>
    </row>
    <row r="6" spans="1:18">
      <c r="A6" s="32" t="s">
        <v>53</v>
      </c>
      <c r="B6" s="37">
        <f>B26</f>
        <v>1314.3175515276</v>
      </c>
      <c r="C6" s="33"/>
      <c r="D6" s="37">
        <f>IF(ISERROR(TER_kantoor_gas_kWh/1000),0,TER_kantoor_gas_kWh/1000)*0.902</f>
        <v>1767.3656439522874</v>
      </c>
      <c r="E6" s="33">
        <f>$C$26*'E Balans VL '!I12/100/3.6*1000000</f>
        <v>46.006284495711959</v>
      </c>
      <c r="F6" s="33">
        <f>$C$26*('E Balans VL '!L12+'E Balans VL '!N12)/100/3.6*1000000</f>
        <v>199.2787589329032</v>
      </c>
      <c r="G6" s="34"/>
      <c r="H6" s="33"/>
      <c r="I6" s="33"/>
      <c r="J6" s="33">
        <f>$C$26*('E Balans VL '!D12+'E Balans VL '!E12)/100/3.6*1000000</f>
        <v>0</v>
      </c>
      <c r="K6" s="33"/>
      <c r="L6" s="33"/>
      <c r="M6" s="33"/>
      <c r="N6" s="33">
        <f>$C$26*'E Balans VL '!Y12/100/3.6*1000000</f>
        <v>10.159263303236131</v>
      </c>
      <c r="O6" s="33"/>
      <c r="P6" s="33"/>
      <c r="R6" s="32"/>
    </row>
    <row r="7" spans="1:18">
      <c r="A7" s="32" t="s">
        <v>52</v>
      </c>
      <c r="B7" s="37">
        <f t="shared" ref="B7:B12" si="0">B27</f>
        <v>814.18856825547198</v>
      </c>
      <c r="C7" s="33"/>
      <c r="D7" s="37">
        <f>IF(ISERROR(TER_horeca_gas_kWh/1000),0,TER_horeca_gas_kWh/1000)*0.902</f>
        <v>879.06652962062242</v>
      </c>
      <c r="E7" s="33">
        <f>$C$27*'E Balans VL '!I9/100/3.6*1000000</f>
        <v>45.931061320971295</v>
      </c>
      <c r="F7" s="33">
        <f>$C$27*('E Balans VL '!L9+'E Balans VL '!N9)/100/3.6*1000000</f>
        <v>141.83615436749139</v>
      </c>
      <c r="G7" s="34"/>
      <c r="H7" s="33"/>
      <c r="I7" s="33"/>
      <c r="J7" s="33">
        <f>$C$27*('E Balans VL '!D9+'E Balans VL '!E9)/100/3.6*1000000</f>
        <v>0</v>
      </c>
      <c r="K7" s="33"/>
      <c r="L7" s="33"/>
      <c r="M7" s="33"/>
      <c r="N7" s="33">
        <f>$C$27*'E Balans VL '!Y9/100/3.6*1000000</f>
        <v>0</v>
      </c>
      <c r="O7" s="33"/>
      <c r="P7" s="33"/>
      <c r="R7" s="32"/>
    </row>
    <row r="8" spans="1:18">
      <c r="A8" s="6" t="s">
        <v>51</v>
      </c>
      <c r="B8" s="37">
        <f t="shared" si="0"/>
        <v>2455.8158242299301</v>
      </c>
      <c r="C8" s="33"/>
      <c r="D8" s="37">
        <f>IF(ISERROR(TER_handel_gas_kWh/1000),0,TER_handel_gas_kWh/1000)*0.902</f>
        <v>146.84282049058365</v>
      </c>
      <c r="E8" s="33">
        <f>$C$28*'E Balans VL '!I13/100/3.6*1000000</f>
        <v>12.607908934327414</v>
      </c>
      <c r="F8" s="33">
        <f>$C$28*('E Balans VL '!L13+'E Balans VL '!N13)/100/3.6*1000000</f>
        <v>378.64885384641821</v>
      </c>
      <c r="G8" s="34"/>
      <c r="H8" s="33"/>
      <c r="I8" s="33"/>
      <c r="J8" s="33">
        <f>$C$28*('E Balans VL '!D13+'E Balans VL '!E13)/100/3.6*1000000</f>
        <v>0</v>
      </c>
      <c r="K8" s="33"/>
      <c r="L8" s="33"/>
      <c r="M8" s="33"/>
      <c r="N8" s="33">
        <f>$C$28*'E Balans VL '!Y13/100/3.6*1000000</f>
        <v>1.1486150382595257</v>
      </c>
      <c r="O8" s="33"/>
      <c r="P8" s="33"/>
      <c r="R8" s="32"/>
    </row>
    <row r="9" spans="1:18">
      <c r="A9" s="32" t="s">
        <v>50</v>
      </c>
      <c r="B9" s="37">
        <f t="shared" si="0"/>
        <v>51.445537891426298</v>
      </c>
      <c r="C9" s="33"/>
      <c r="D9" s="37">
        <f>IF(ISERROR(TER_gezond_gas_kWh/1000),0,TER_gezond_gas_kWh/1000)*0.902</f>
        <v>0</v>
      </c>
      <c r="E9" s="33">
        <f>$C$29*'E Balans VL '!I10/100/3.6*1000000</f>
        <v>2.1323809074006387E-2</v>
      </c>
      <c r="F9" s="33">
        <f>$C$29*('E Balans VL '!L10+'E Balans VL '!N10)/100/3.6*1000000</f>
        <v>12.670298155224268</v>
      </c>
      <c r="G9" s="34"/>
      <c r="H9" s="33"/>
      <c r="I9" s="33"/>
      <c r="J9" s="33">
        <f>$C$29*('E Balans VL '!D10+'E Balans VL '!E10)/100/3.6*1000000</f>
        <v>0</v>
      </c>
      <c r="K9" s="33"/>
      <c r="L9" s="33"/>
      <c r="M9" s="33"/>
      <c r="N9" s="33">
        <f>$C$29*'E Balans VL '!Y10/100/3.6*1000000</f>
        <v>0.44461678152495931</v>
      </c>
      <c r="O9" s="33"/>
      <c r="P9" s="33"/>
      <c r="R9" s="32"/>
    </row>
    <row r="10" spans="1:18">
      <c r="A10" s="32" t="s">
        <v>49</v>
      </c>
      <c r="B10" s="37">
        <f t="shared" si="0"/>
        <v>1063.1890798827301</v>
      </c>
      <c r="C10" s="33"/>
      <c r="D10" s="37">
        <f>IF(ISERROR(TER_ander_gas_kWh/1000),0,TER_ander_gas_kWh/1000)*0.902</f>
        <v>586.45675249331669</v>
      </c>
      <c r="E10" s="33">
        <f>$C$30*'E Balans VL '!I14/100/3.6*1000000</f>
        <v>6.4812268627076248</v>
      </c>
      <c r="F10" s="33">
        <f>$C$30*('E Balans VL '!L14+'E Balans VL '!N14)/100/3.6*1000000</f>
        <v>281.86598911523555</v>
      </c>
      <c r="G10" s="34"/>
      <c r="H10" s="33"/>
      <c r="I10" s="33"/>
      <c r="J10" s="33">
        <f>$C$30*('E Balans VL '!D14+'E Balans VL '!E14)/100/3.6*1000000</f>
        <v>0</v>
      </c>
      <c r="K10" s="33"/>
      <c r="L10" s="33"/>
      <c r="M10" s="33"/>
      <c r="N10" s="33">
        <f>$C$30*'E Balans VL '!Y14/100/3.6*1000000</f>
        <v>245.04210908792342</v>
      </c>
      <c r="O10" s="33"/>
      <c r="P10" s="33"/>
      <c r="R10" s="32"/>
    </row>
    <row r="11" spans="1:18">
      <c r="A11" s="32" t="s">
        <v>54</v>
      </c>
      <c r="B11" s="37">
        <f t="shared" si="0"/>
        <v>38.149543365101806</v>
      </c>
      <c r="C11" s="33"/>
      <c r="D11" s="37">
        <f>IF(ISERROR(TER_onderwijs_gas_kWh/1000),0,TER_onderwijs_gas_kWh/1000)*0.902</f>
        <v>0</v>
      </c>
      <c r="E11" s="33">
        <f>$C$31*'E Balans VL '!I11/100/3.6*1000000</f>
        <v>2.907193851191631E-2</v>
      </c>
      <c r="F11" s="33">
        <f>$C$31*('E Balans VL '!L11+'E Balans VL '!N11)/100/3.6*1000000</f>
        <v>27.607100260952816</v>
      </c>
      <c r="G11" s="34"/>
      <c r="H11" s="33"/>
      <c r="I11" s="33"/>
      <c r="J11" s="33">
        <f>$C$31*('E Balans VL '!D11+'E Balans VL '!E11)/100/3.6*1000000</f>
        <v>0</v>
      </c>
      <c r="K11" s="33"/>
      <c r="L11" s="33"/>
      <c r="M11" s="33"/>
      <c r="N11" s="33">
        <f>$C$31*'E Balans VL '!Y11/100/3.6*1000000</f>
        <v>0.11243582187167916</v>
      </c>
      <c r="O11" s="33"/>
      <c r="P11" s="33"/>
      <c r="R11" s="32"/>
    </row>
    <row r="12" spans="1:18">
      <c r="A12" s="32" t="s">
        <v>255</v>
      </c>
      <c r="B12" s="37">
        <f t="shared" si="0"/>
        <v>6945.7655828193692</v>
      </c>
      <c r="C12" s="33"/>
      <c r="D12" s="37">
        <f>IF(ISERROR(TER_rest_gas_kWh/1000),0,TER_rest_gas_kWh/1000)*0.902</f>
        <v>2479.7098770553771</v>
      </c>
      <c r="E12" s="33">
        <f>$C$32*'E Balans VL '!I8/100/3.6*1000000</f>
        <v>148.96620730184603</v>
      </c>
      <c r="F12" s="33">
        <f>$C$32*('E Balans VL '!L8+'E Balans VL '!N8)/100/3.6*1000000</f>
        <v>1370.522866920242</v>
      </c>
      <c r="G12" s="34"/>
      <c r="H12" s="33"/>
      <c r="I12" s="33"/>
      <c r="J12" s="33">
        <f>$C$32*('E Balans VL '!D8+'E Balans VL '!E8)/100/3.6*1000000</f>
        <v>0</v>
      </c>
      <c r="K12" s="33"/>
      <c r="L12" s="33"/>
      <c r="M12" s="33"/>
      <c r="N12" s="33">
        <f>$C$32*'E Balans VL '!Y8/100/3.6*1000000</f>
        <v>197.00083576785664</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12682.871687971628</v>
      </c>
      <c r="C16" s="21">
        <f ca="1">C5+C13+C14</f>
        <v>0</v>
      </c>
      <c r="D16" s="21">
        <f t="shared" ref="D16:N16" ca="1" si="1">MAX((D5+D13+D14),0)</f>
        <v>5859.441623612187</v>
      </c>
      <c r="E16" s="21">
        <f t="shared" si="1"/>
        <v>260.04308466315024</v>
      </c>
      <c r="F16" s="21">
        <f t="shared" ca="1" si="1"/>
        <v>2412.4300215984676</v>
      </c>
      <c r="G16" s="21">
        <f t="shared" si="1"/>
        <v>0</v>
      </c>
      <c r="H16" s="21">
        <f t="shared" si="1"/>
        <v>0</v>
      </c>
      <c r="I16" s="21">
        <f t="shared" si="1"/>
        <v>0</v>
      </c>
      <c r="J16" s="21">
        <f t="shared" si="1"/>
        <v>0</v>
      </c>
      <c r="K16" s="21">
        <f t="shared" si="1"/>
        <v>0</v>
      </c>
      <c r="L16" s="21">
        <f t="shared" ca="1" si="1"/>
        <v>0</v>
      </c>
      <c r="M16" s="21">
        <f t="shared" si="1"/>
        <v>0</v>
      </c>
      <c r="N16" s="21">
        <f t="shared" ca="1" si="1"/>
        <v>453.90787580067234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0.21453061809310026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2720.8643024160351</v>
      </c>
      <c r="C20" s="23">
        <f t="shared" ref="C20:P20" ca="1" si="2">C16*C18</f>
        <v>0</v>
      </c>
      <c r="D20" s="23">
        <f t="shared" ca="1" si="2"/>
        <v>1183.6072079696619</v>
      </c>
      <c r="E20" s="23">
        <f t="shared" si="2"/>
        <v>59.029780218535109</v>
      </c>
      <c r="F20" s="23">
        <f t="shared" ca="1" si="2"/>
        <v>644.11881576679093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1314.3175515276</v>
      </c>
      <c r="C26" s="39">
        <f>IF(ISERROR(B26*3.6/1000000/'E Balans VL '!Z12*100),0,B26*3.6/1000000/'E Balans VL '!Z12*100)</f>
        <v>2.7657633240305266E-2</v>
      </c>
      <c r="D26" s="234" t="s">
        <v>706</v>
      </c>
      <c r="F26" s="6"/>
    </row>
    <row r="27" spans="1:18">
      <c r="A27" s="229" t="s">
        <v>52</v>
      </c>
      <c r="B27" s="33">
        <f>IF(ISERROR(TER_horeca_ele_kWh/1000),0,TER_horeca_ele_kWh/1000)</f>
        <v>814.18856825547198</v>
      </c>
      <c r="C27" s="39">
        <f>IF(ISERROR(B27*3.6/1000000/'E Balans VL '!Z9*100),0,B27*3.6/1000000/'E Balans VL '!Z9*100)</f>
        <v>6.8935058225500931E-2</v>
      </c>
      <c r="D27" s="234" t="s">
        <v>706</v>
      </c>
      <c r="F27" s="6"/>
    </row>
    <row r="28" spans="1:18">
      <c r="A28" s="169" t="s">
        <v>51</v>
      </c>
      <c r="B28" s="33">
        <f>IF(ISERROR(TER_handel_ele_kWh/1000),0,TER_handel_ele_kWh/1000)</f>
        <v>2455.8158242299301</v>
      </c>
      <c r="C28" s="39">
        <f>IF(ISERROR(B28*3.6/1000000/'E Balans VL '!Z13*100),0,B28*3.6/1000000/'E Balans VL '!Z13*100)</f>
        <v>6.7988921505936994E-2</v>
      </c>
      <c r="D28" s="234" t="s">
        <v>706</v>
      </c>
      <c r="F28" s="6"/>
    </row>
    <row r="29" spans="1:18">
      <c r="A29" s="229" t="s">
        <v>50</v>
      </c>
      <c r="B29" s="33">
        <f>IF(ISERROR(TER_gezond_ele_kWh/1000),0,TER_gezond_ele_kWh/1000)</f>
        <v>51.445537891426298</v>
      </c>
      <c r="C29" s="39">
        <f>IF(ISERROR(B29*3.6/1000000/'E Balans VL '!Z10*100),0,B29*3.6/1000000/'E Balans VL '!Z10*100)</f>
        <v>6.6873495856020785E-3</v>
      </c>
      <c r="D29" s="234" t="s">
        <v>706</v>
      </c>
      <c r="F29" s="6"/>
    </row>
    <row r="30" spans="1:18">
      <c r="A30" s="229" t="s">
        <v>49</v>
      </c>
      <c r="B30" s="33">
        <f>IF(ISERROR(TER_ander_ele_kWh/1000),0,TER_ander_ele_kWh/1000)</f>
        <v>1063.1890798827301</v>
      </c>
      <c r="C30" s="39">
        <f>IF(ISERROR(B30*3.6/1000000/'E Balans VL '!Z14*100),0,B30*3.6/1000000/'E Balans VL '!Z14*100)</f>
        <v>8.2406903879600951E-2</v>
      </c>
      <c r="D30" s="234" t="s">
        <v>706</v>
      </c>
      <c r="F30" s="6"/>
    </row>
    <row r="31" spans="1:18">
      <c r="A31" s="229" t="s">
        <v>54</v>
      </c>
      <c r="B31" s="33">
        <f>IF(ISERROR(TER_onderwijs_ele_kWh/1000),0,TER_onderwijs_ele_kWh/1000)</f>
        <v>38.149543365101806</v>
      </c>
      <c r="C31" s="39">
        <f>IF(ISERROR(B31*3.6/1000000/'E Balans VL '!Z11*100),0,B31*3.6/1000000/'E Balans VL '!Z11*100)</f>
        <v>7.2986577002063721E-3</v>
      </c>
      <c r="D31" s="234" t="s">
        <v>706</v>
      </c>
    </row>
    <row r="32" spans="1:18">
      <c r="A32" s="229" t="s">
        <v>255</v>
      </c>
      <c r="B32" s="33">
        <f>IF(ISERROR(TER_rest_ele_kWh/1000),0,TER_rest_ele_kWh/1000)</f>
        <v>6945.7655828193692</v>
      </c>
      <c r="C32" s="39">
        <f>IF(ISERROR(B32*3.6/1000000/'E Balans VL '!Z8*100),0,B32*3.6/1000000/'E Balans VL '!Z8*100)</f>
        <v>5.7273170991835397E-2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7145.8402851455658</v>
      </c>
      <c r="C5" s="17">
        <f>IF(ISERROR('Eigen informatie GS &amp; warmtenet'!B59),0,'Eigen informatie GS &amp; warmtenet'!B59)</f>
        <v>0</v>
      </c>
      <c r="D5" s="30">
        <f>SUM(D6:D15)</f>
        <v>25768.073811547489</v>
      </c>
      <c r="E5" s="17">
        <f>SUM(E6:E15)</f>
        <v>72.768784746441199</v>
      </c>
      <c r="F5" s="17">
        <f>SUM(F6:F15)</f>
        <v>2038.5697849711162</v>
      </c>
      <c r="G5" s="18"/>
      <c r="H5" s="17"/>
      <c r="I5" s="17"/>
      <c r="J5" s="17">
        <f>SUM(J6:J15)</f>
        <v>40.499186265486678</v>
      </c>
      <c r="K5" s="17"/>
      <c r="L5" s="17"/>
      <c r="M5" s="17"/>
      <c r="N5" s="17">
        <f>SUM(N6:N15)</f>
        <v>187.51347358790014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1062.6332647255801</v>
      </c>
      <c r="C9" s="33"/>
      <c r="D9" s="37">
        <f>IF( ISERROR(IND_andere_gas_kWh/1000),0,IND_andere_gas_kWh/1000)*0.902</f>
        <v>290.61040696017619</v>
      </c>
      <c r="E9" s="33">
        <f>C31*'E Balans VL '!I19/100/3.6*1000000</f>
        <v>17.848227448378523</v>
      </c>
      <c r="F9" s="33">
        <f>C31*'E Balans VL '!L19/100/3.6*1000000+C31*'E Balans VL '!N19/100/3.6*1000000</f>
        <v>830.70616329081076</v>
      </c>
      <c r="G9" s="34"/>
      <c r="H9" s="33"/>
      <c r="I9" s="33"/>
      <c r="J9" s="40">
        <f>C31*'E Balans VL '!D19/100/3.6*1000000+C31*'E Balans VL '!E19/100/3.6*1000000</f>
        <v>9.5840140205397467E-2</v>
      </c>
      <c r="K9" s="33"/>
      <c r="L9" s="33"/>
      <c r="M9" s="33"/>
      <c r="N9" s="33">
        <f>C31*'E Balans VL '!Y19/100/3.6*1000000</f>
        <v>78.75817336599907</v>
      </c>
      <c r="O9" s="33"/>
      <c r="P9" s="33"/>
      <c r="R9" s="32"/>
    </row>
    <row r="10" spans="1:18">
      <c r="A10" s="6" t="s">
        <v>40</v>
      </c>
      <c r="B10" s="37">
        <f t="shared" si="0"/>
        <v>213.03786828830499</v>
      </c>
      <c r="C10" s="33"/>
      <c r="D10" s="37">
        <f>IF( ISERROR(IND_voed_gas_kWh/1000),0,IND_voed_gas_kWh/1000)*0.902</f>
        <v>96.320249526498685</v>
      </c>
      <c r="E10" s="33">
        <f>C32*'E Balans VL '!I20/100/3.6*1000000</f>
        <v>1.9436689823805837</v>
      </c>
      <c r="F10" s="33">
        <f>C32*'E Balans VL '!L20/100/3.6*1000000+C32*'E Balans VL '!N20/100/3.6*1000000</f>
        <v>34.369671589465895</v>
      </c>
      <c r="G10" s="34"/>
      <c r="H10" s="33"/>
      <c r="I10" s="33"/>
      <c r="J10" s="40">
        <f>C32*'E Balans VL '!D20/100/3.6*1000000+C32*'E Balans VL '!E20/100/3.6*1000000</f>
        <v>0.87742961599863978</v>
      </c>
      <c r="K10" s="33"/>
      <c r="L10" s="33"/>
      <c r="M10" s="33"/>
      <c r="N10" s="33">
        <f>C32*'E Balans VL '!Y20/100/3.6*1000000</f>
        <v>3.1165760279840762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5870.1691521316807</v>
      </c>
      <c r="C15" s="33"/>
      <c r="D15" s="37">
        <f>IF( ISERROR(IND_rest_gas_kWh/1000),0,IND_rest_gas_kWh/1000)*0.902</f>
        <v>25381.143155060814</v>
      </c>
      <c r="E15" s="33">
        <f>C37*'E Balans VL '!I15/100/3.6*1000000</f>
        <v>52.976888315682089</v>
      </c>
      <c r="F15" s="33">
        <f>C37*'E Balans VL '!L15/100/3.6*1000000+C37*'E Balans VL '!N15/100/3.6*1000000</f>
        <v>1173.4939500908395</v>
      </c>
      <c r="G15" s="34"/>
      <c r="H15" s="33"/>
      <c r="I15" s="33"/>
      <c r="J15" s="40">
        <f>C37*'E Balans VL '!D15/100/3.6*1000000+C37*'E Balans VL '!E15/100/3.6*1000000</f>
        <v>39.525916509282638</v>
      </c>
      <c r="K15" s="33"/>
      <c r="L15" s="33"/>
      <c r="M15" s="33"/>
      <c r="N15" s="33">
        <f>C37*'E Balans VL '!Y15/100/3.6*1000000</f>
        <v>105.63872419391697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7145.8402851455658</v>
      </c>
      <c r="C18" s="21">
        <f>C5+C16</f>
        <v>0</v>
      </c>
      <c r="D18" s="21">
        <f>MAX((D5+D16),0)</f>
        <v>25768.073811547489</v>
      </c>
      <c r="E18" s="21">
        <f>MAX((E5+E16),0)</f>
        <v>72.768784746441199</v>
      </c>
      <c r="F18" s="21">
        <f>MAX((F5+F16),0)</f>
        <v>2038.5697849711162</v>
      </c>
      <c r="G18" s="21"/>
      <c r="H18" s="21"/>
      <c r="I18" s="21"/>
      <c r="J18" s="21">
        <f>MAX((J5+J16),0)</f>
        <v>40.499186265486678</v>
      </c>
      <c r="K18" s="21"/>
      <c r="L18" s="21">
        <f>MAX((L5+L16),0)</f>
        <v>0</v>
      </c>
      <c r="M18" s="21"/>
      <c r="N18" s="21">
        <f>MAX((N5+N16),0)</f>
        <v>187.51347358790014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0.21453061809310026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1533.001533166854</v>
      </c>
      <c r="C22" s="23">
        <f ca="1">C18*C20</f>
        <v>0</v>
      </c>
      <c r="D22" s="23">
        <f>D18*D20</f>
        <v>5205.1509099325931</v>
      </c>
      <c r="E22" s="23">
        <f>E18*E20</f>
        <v>16.518514137442153</v>
      </c>
      <c r="F22" s="23">
        <f>F18*F20</f>
        <v>544.29813258728802</v>
      </c>
      <c r="G22" s="23"/>
      <c r="H22" s="23"/>
      <c r="I22" s="23"/>
      <c r="J22" s="23">
        <f>J18*J20</f>
        <v>14.336711937982283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1062.6332647255801</v>
      </c>
      <c r="C31" s="39">
        <f>IF(ISERROR(B31*3.6/1000000/'E Balans VL '!Z19*100),0,B31*3.6/1000000/'E Balans VL '!Z19*100)</f>
        <v>4.7102321466133912E-2</v>
      </c>
      <c r="D31" s="234" t="s">
        <v>706</v>
      </c>
    </row>
    <row r="32" spans="1:18">
      <c r="A32" s="169" t="s">
        <v>40</v>
      </c>
      <c r="B32" s="37">
        <f>IF( ISERROR(IND_voed_ele_kWh/1000),0,IND_voed_ele_kWh/1000)</f>
        <v>213.03786828830499</v>
      </c>
      <c r="C32" s="39">
        <f>IF(ISERROR(B32*3.6/1000000/'E Balans VL '!Z20*100),0,B32*3.6/1000000/'E Balans VL '!Z20*100)</f>
        <v>7.1160759273782735E-3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5870.1691521316807</v>
      </c>
      <c r="C37" s="39">
        <f>IF(ISERROR(B37*3.6/1000000/'E Balans VL '!Z15*100),0,B37*3.6/1000000/'E Balans VL '!Z15*100)</f>
        <v>4.3664495168271408E-2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711.28076698868608</v>
      </c>
      <c r="C5" s="17">
        <f>'Eigen informatie GS &amp; warmtenet'!B60</f>
        <v>0</v>
      </c>
      <c r="D5" s="30">
        <f>IF(ISERROR(SUM(LB_lb_gas_kWh,LB_rest_gas_kWh)/1000),0,SUM(LB_lb_gas_kWh,LB_rest_gas_kWh)/1000)*0.902</f>
        <v>33.292745913112242</v>
      </c>
      <c r="E5" s="17">
        <f>B17*'E Balans VL '!I25/3.6*1000000/100</f>
        <v>7.4486861779120623</v>
      </c>
      <c r="F5" s="17">
        <f>B17*('E Balans VL '!L25/3.6*1000000+'E Balans VL '!N25/3.6*1000000)/100</f>
        <v>3044.8221413122665</v>
      </c>
      <c r="G5" s="18"/>
      <c r="H5" s="17"/>
      <c r="I5" s="17"/>
      <c r="J5" s="17">
        <f>('E Balans VL '!D25+'E Balans VL '!E25)/3.6*1000000*landbouw!B17/100</f>
        <v>63.523747810364959</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711.28076698868608</v>
      </c>
      <c r="C8" s="21">
        <f>C5+C6</f>
        <v>0</v>
      </c>
      <c r="D8" s="21">
        <f>MAX((D5+D6),0)</f>
        <v>33.292745913112242</v>
      </c>
      <c r="E8" s="21">
        <f>MAX((E5+E6),0)</f>
        <v>7.4486861779120623</v>
      </c>
      <c r="F8" s="21">
        <f>MAX((F5+F6),0)</f>
        <v>3044.8221413122665</v>
      </c>
      <c r="G8" s="21"/>
      <c r="H8" s="21"/>
      <c r="I8" s="21"/>
      <c r="J8" s="21">
        <f>MAX((J5+J6),0)</f>
        <v>63.523747810364959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0.21453061809310026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152.59150257981725</v>
      </c>
      <c r="C12" s="23">
        <f ca="1">C8*C10</f>
        <v>0</v>
      </c>
      <c r="D12" s="23">
        <f>D8*D10</f>
        <v>6.7251346744486735</v>
      </c>
      <c r="E12" s="23">
        <f>E8*E10</f>
        <v>1.6908517623860382</v>
      </c>
      <c r="F12" s="23">
        <f>F8*F10</f>
        <v>812.96751173037524</v>
      </c>
      <c r="G12" s="23"/>
      <c r="H12" s="23"/>
      <c r="I12" s="23"/>
      <c r="J12" s="23">
        <f>J8*J10</f>
        <v>22.487406724869196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0.10947984029569156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54.025585315128531</v>
      </c>
      <c r="C26" s="244">
        <f>B26*'GWP N2O_CH4'!B5</f>
        <v>1134.5372916176991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12.652596918456528</v>
      </c>
      <c r="C27" s="244">
        <f>B27*'GWP N2O_CH4'!B5</f>
        <v>265.70453528758708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1.3607839658233409</v>
      </c>
      <c r="C28" s="244">
        <f>B28*'GWP N2O_CH4'!B4</f>
        <v>421.84302940523571</v>
      </c>
      <c r="D28" s="50"/>
    </row>
    <row r="29" spans="1:4">
      <c r="A29" s="41" t="s">
        <v>272</v>
      </c>
      <c r="B29" s="244">
        <f>B34*'ha_N2O bodem landbouw'!B4</f>
        <v>4.0576751269797837</v>
      </c>
      <c r="C29" s="244">
        <f>B29*'GWP N2O_CH4'!B4</f>
        <v>1257.8792893637331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6.7058410700797562E-4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1.2186076049359514E-6</v>
      </c>
      <c r="C5" s="435" t="s">
        <v>210</v>
      </c>
      <c r="D5" s="420">
        <f>SUM(D6:D11)</f>
        <v>4.2185302780200335E-6</v>
      </c>
      <c r="E5" s="420">
        <f>SUM(E6:E11)</f>
        <v>4.3334216540384668E-4</v>
      </c>
      <c r="F5" s="433" t="s">
        <v>210</v>
      </c>
      <c r="G5" s="420">
        <f>SUM(G6:G11)</f>
        <v>6.8831569896510361E-2</v>
      </c>
      <c r="H5" s="420">
        <f>SUM(H6:H11)</f>
        <v>1.3854156989814395E-2</v>
      </c>
      <c r="I5" s="435" t="s">
        <v>210</v>
      </c>
      <c r="J5" s="435" t="s">
        <v>210</v>
      </c>
      <c r="K5" s="435" t="s">
        <v>210</v>
      </c>
      <c r="L5" s="435" t="s">
        <v>210</v>
      </c>
      <c r="M5" s="420">
        <f>SUM(M6:M11)</f>
        <v>3.6028459055431603E-3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9.9496437678654945E-7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3.1502770775627216E-6</v>
      </c>
      <c r="E6" s="423">
        <f>vkm_GW_PW*SUMIFS(TableVerdeelsleutelVkm[LPG],TableVerdeelsleutelVkm[Voertuigtype],"Lichte voertuigen")*SUMIFS(TableECFTransport[EnergieConsumptieFactor (PJ per km)],TableECFTransport[Index],CONCATENATE($A6,"_LPG_LPG"))</f>
        <v>3.282862651225937E-4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4.3727812353620277E-2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1.0490207764029123E-2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2.3665707590255877E-3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2.2055424098739737E-8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9.9420815094328919E-3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2.6918167115728937E-7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4.2830900571995281E-4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1.9852492489410471E-7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1.0682532004573121E-6</v>
      </c>
      <c r="E8" s="423">
        <f>vkm_NGW_PW*SUMIFS(TableVerdeelsleutelVkm[LPG],TableVerdeelsleutelVkm[Voertuigtype],"Lichte voertuigen")*SUMIFS(TableECFTransport[EnergieConsumptieFactor (PJ per km)],TableECFTransport[Index],CONCATENATE($A8,"_LPG_LPG"))</f>
        <v>1.0505590028125297E-4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1.3249222971610519E-2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3.3636349233567764E-3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7.2557717409829083E-4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3.0628791565575113E-9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1.9124530618466729E-3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4.5120757336201369E-8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8.2388966699329145E-5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0.33850211248220874</v>
      </c>
      <c r="C14" s="21"/>
      <c r="D14" s="21">
        <f t="shared" ref="D14:M14" si="0">((D5)*10^9/3600)+D12</f>
        <v>1.171813966116676</v>
      </c>
      <c r="E14" s="21">
        <f t="shared" si="0"/>
        <v>120.37282372329074</v>
      </c>
      <c r="F14" s="21"/>
      <c r="G14" s="21">
        <f t="shared" si="0"/>
        <v>19119.880526808432</v>
      </c>
      <c r="H14" s="21">
        <f t="shared" si="0"/>
        <v>3848.3769416151099</v>
      </c>
      <c r="I14" s="21"/>
      <c r="J14" s="21"/>
      <c r="K14" s="21"/>
      <c r="L14" s="21"/>
      <c r="M14" s="21">
        <f t="shared" si="0"/>
        <v>1000.7905293175445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0.21453061809310026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7.2619067416628394E-2</v>
      </c>
      <c r="C18" s="23"/>
      <c r="D18" s="23">
        <f t="shared" ref="D18:M18" si="1">D14*D16</f>
        <v>0.23670642115556856</v>
      </c>
      <c r="E18" s="23">
        <f t="shared" si="1"/>
        <v>27.324630985187</v>
      </c>
      <c r="F18" s="23"/>
      <c r="G18" s="23">
        <f t="shared" si="1"/>
        <v>5105.0081006578521</v>
      </c>
      <c r="H18" s="23">
        <f t="shared" si="1"/>
        <v>958.24585846216235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7.1144862932842655E-6</v>
      </c>
      <c r="C50" s="315">
        <f t="shared" ref="C50:P50" si="2">SUM(C51:C52)</f>
        <v>0</v>
      </c>
      <c r="D50" s="315">
        <f t="shared" si="2"/>
        <v>0</v>
      </c>
      <c r="E50" s="315">
        <f t="shared" si="2"/>
        <v>0</v>
      </c>
      <c r="F50" s="315">
        <f t="shared" si="2"/>
        <v>0</v>
      </c>
      <c r="G50" s="315">
        <f t="shared" si="2"/>
        <v>1.5434163728933737E-3</v>
      </c>
      <c r="H50" s="315">
        <f t="shared" si="2"/>
        <v>0</v>
      </c>
      <c r="I50" s="315">
        <f t="shared" si="2"/>
        <v>0</v>
      </c>
      <c r="J50" s="315">
        <f t="shared" si="2"/>
        <v>0</v>
      </c>
      <c r="K50" s="315">
        <f t="shared" si="2"/>
        <v>0</v>
      </c>
      <c r="L50" s="315">
        <f t="shared" si="2"/>
        <v>0</v>
      </c>
      <c r="M50" s="315">
        <f t="shared" si="2"/>
        <v>6.6083160440652501E-5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7.1144862932842655E-6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1.5434163728933737E-3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6.6083160440652501E-5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1.9762461925789625</v>
      </c>
      <c r="C54" s="21">
        <f t="shared" ref="C54:P54" si="3">(C50)*10^9/3600</f>
        <v>0</v>
      </c>
      <c r="D54" s="21">
        <f t="shared" si="3"/>
        <v>0</v>
      </c>
      <c r="E54" s="21">
        <f t="shared" si="3"/>
        <v>0</v>
      </c>
      <c r="F54" s="21">
        <f t="shared" si="3"/>
        <v>0</v>
      </c>
      <c r="G54" s="21">
        <f t="shared" si="3"/>
        <v>428.72677024815937</v>
      </c>
      <c r="H54" s="21">
        <f t="shared" si="3"/>
        <v>0</v>
      </c>
      <c r="I54" s="21">
        <f t="shared" si="3"/>
        <v>0</v>
      </c>
      <c r="J54" s="21">
        <f t="shared" si="3"/>
        <v>0</v>
      </c>
      <c r="K54" s="21">
        <f t="shared" si="3"/>
        <v>0</v>
      </c>
      <c r="L54" s="21">
        <f t="shared" si="3"/>
        <v>0</v>
      </c>
      <c r="M54" s="21">
        <f t="shared" si="3"/>
        <v>18.356433455736806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0.21453061809310026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0.42396531719810088</v>
      </c>
      <c r="C58" s="23">
        <f t="shared" ref="C58:P58" ca="1" si="4">C54*C56</f>
        <v>0</v>
      </c>
      <c r="D58" s="23">
        <f t="shared" si="4"/>
        <v>0</v>
      </c>
      <c r="E58" s="23">
        <f t="shared" si="4"/>
        <v>0</v>
      </c>
      <c r="F58" s="23">
        <f t="shared" si="4"/>
        <v>0</v>
      </c>
      <c r="G58" s="23">
        <f t="shared" si="4"/>
        <v>114.47004765625856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1203.938919506707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1203.938919506707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2021-06-29T16:53:22Z</dcterms:modified>
</cp:coreProperties>
</file>