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D20" i="18"/>
  <c r="G12" i="18"/>
  <c r="F12" i="18"/>
  <c r="E12" i="18"/>
  <c r="D12" i="18"/>
  <c r="C12" i="18"/>
  <c r="L10" i="18"/>
  <c r="K10" i="18"/>
  <c r="G10" i="18"/>
  <c r="D10" i="18"/>
  <c r="B6" i="18"/>
  <c r="B5" i="18"/>
  <c r="B4" i="18"/>
  <c r="F20" i="18" l="1"/>
  <c r="G20" i="18"/>
  <c r="K20" i="18"/>
  <c r="B47" i="18"/>
  <c r="I51" i="18" s="1"/>
  <c r="H17" i="18" s="1"/>
  <c r="J9" i="18"/>
  <c r="O9" i="18" s="1"/>
  <c r="B17" i="18"/>
  <c r="B20" i="18" s="1"/>
  <c r="C47" i="18"/>
  <c r="H50" i="18" s="1"/>
  <c r="O19" i="18"/>
  <c r="O18" i="18"/>
  <c r="L20" i="18"/>
  <c r="B10" i="18"/>
  <c r="D51"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1" i="18"/>
  <c r="C17" i="18" s="1"/>
  <c r="D87" i="14" s="1"/>
  <c r="D17" i="55" s="1"/>
  <c r="D20" i="55" s="1"/>
  <c r="L20" i="55"/>
  <c r="F51" i="18"/>
  <c r="J77" i="14"/>
  <c r="J9" i="55" s="1"/>
  <c r="H51" i="18"/>
  <c r="H20" i="18"/>
  <c r="M87" i="14"/>
  <c r="M17" i="55" s="1"/>
  <c r="M20" i="55" s="1"/>
  <c r="C51" i="18"/>
  <c r="E51" i="18"/>
  <c r="E17" i="18" s="1"/>
  <c r="G51" i="18"/>
  <c r="K10" i="55"/>
  <c r="C50" i="18"/>
  <c r="E50" i="18"/>
  <c r="E8" i="18" s="1"/>
  <c r="G50" i="18"/>
  <c r="I50" i="18"/>
  <c r="H8" i="18" s="1"/>
  <c r="B50" i="18"/>
  <c r="C8" i="18" s="1"/>
  <c r="D76" i="14" s="1"/>
  <c r="D8" i="55" s="1"/>
  <c r="D10" i="55" s="1"/>
  <c r="D50" i="18"/>
  <c r="F50"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Q11" i="14" s="1"/>
  <c r="B37" i="13"/>
  <c r="B35" i="13"/>
  <c r="C35" i="13" s="1"/>
  <c r="B34" i="13"/>
  <c r="B33" i="13"/>
  <c r="B32" i="13"/>
  <c r="B36"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<sst xmlns="http://schemas.openxmlformats.org/spreadsheetml/2006/main" count="2608" uniqueCount="997">
  <si>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</si>
  <si>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</si>
  <si>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</si>
  <si>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</si>
  <si>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</si>
  <si>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</si>
  <si>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</si>
  <si>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</si>
  <si>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</si>
  <si>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</si>
  <si>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</si>
  <si>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</si>
  <si>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</si>
  <si>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</si>
  <si>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</si>
  <si>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</si>
  <si>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</si>
  <si>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</si>
  <si>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</si>
  <si>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</si>
  <si>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</si>
  <si>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</si>
  <si>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</si>
  <si>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</si>
  <si>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</si>
  <si>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</si>
  <si>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</si>
  <si>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</si>
  <si>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</si>
  <si>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</si>
  <si>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</si>
  <si>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</si>
  <si>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</si>
  <si>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</si>
  <si>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</si>
  <si>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</si>
  <si>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</si>
  <si>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</si>
  <si>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</si>
  <si>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</si>
  <si>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</si>
  <si>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</si>
  <si>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</si>
  <si>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</si>
  <si>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</si>
  <si>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</si>
  <si>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</si>
  <si>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</si>
  <si>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</si>
  <si>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</si>
  <si>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</si>
  <si>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</si>
  <si>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</si>
  <si>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</si>
  <si>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</si>
  <si>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</si>
  <si>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</si>
  <si>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</si>
  <si>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</si>
  <si>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</si>
  <si>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</si>
  <si>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</si>
  <si>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</si>
  <si>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</si>
  <si>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</si>
  <si>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</si>
  <si>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</si>
  <si>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</si>
  <si>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</si>
  <si>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</si>
  <si>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</si>
  <si>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</si>
  <si>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</si>
  <si>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</si>
  <si>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</si>
  <si>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</si>
  <si>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</si>
  <si>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</si>
  <si>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</si>
  <si>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</si>
  <si>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</si>
  <si>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</si>
  <si>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</si>
  <si>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</si>
  <si>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</si>
  <si>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</si>
  <si>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</si>
  <si>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</si>
  <si>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</si>
  <si>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</si>
  <si>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</si>
  <si>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</si>
  <si>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</si>
  <si>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</si>
  <si>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</si>
  <si>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</si>
  <si>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</si>
  <si>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</si>
  <si>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</si>
  <si>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</si>
  <si>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</si>
  <si>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</si>
  <si>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</si>
  <si>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</si>
  <si>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</si>
  <si>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</si>
  <si>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</si>
  <si>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</si>
  <si>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</si>
  <si>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</si>
  <si>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</si>
  <si>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</si>
  <si>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</si>
  <si>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</si>
  <si>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</si>
  <si>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</si>
  <si>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</si>
  <si>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</si>
  <si>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</si>
  <si>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</si>
  <si>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</si>
  <si>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</si>
  <si>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</si>
  <si>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</si>
  <si>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</si>
  <si>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</si>
  <si>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</si>
  <si>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</si>
  <si>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</si>
  <si>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</si>
  <si>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</si>
  <si>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</si>
  <si>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</si>
  <si>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</si>
  <si>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</si>
  <si>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</si>
  <si>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</si>
  <si>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</si>
  <si>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</si>
  <si>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</si>
  <si>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</si>
  <si>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</si>
  <si>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</si>
  <si>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</si>
  <si>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</si>
  <si>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</si>
  <si>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</si>
  <si>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</si>
  <si>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</si>
  <si>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</si>
  <si>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</si>
  <si>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</si>
  <si>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</si>
  <si>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</si>
  <si>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</si>
  <si>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</si>
  <si>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</si>
  <si>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</si>
  <si>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</si>
  <si>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</si>
  <si>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</si>
  <si>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</si>
  <si>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</si>
  <si>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</si>
  <si>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</si>
  <si>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</si>
  <si>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</si>
  <si>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</si>
  <si>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</si>
  <si>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</si>
  <si>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</si>
  <si>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</si>
  <si>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</si>
  <si>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</si>
  <si>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</si>
  <si>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</si>
  <si>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</si>
  <si>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</si>
  <si>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</si>
  <si>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</si>
  <si>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</si>
  <si>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</si>
  <si>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</si>
  <si>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</si>
  <si>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</si>
  <si>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</si>
  <si>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</si>
  <si>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</si>
  <si>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</si>
  <si>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</si>
  <si>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</si>
  <si>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</si>
  <si>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</si>
  <si>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</si>
  <si>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</si>
  <si>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</si>
  <si>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</si>
  <si>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</si>
  <si>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</si>
  <si>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</si>
  <si>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</si>
  <si>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</si>
  <si>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</si>
  <si>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</si>
  <si>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</si>
  <si>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</si>
  <si>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</si>
  <si>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</si>
  <si>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</si>
  <si>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</si>
  <si>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</si>
  <si>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</si>
  <si>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</si>
  <si>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</si>
  <si>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</si>
  <si>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</si>
  <si>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</si>
  <si>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</si>
  <si>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</si>
  <si>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</si>
  <si>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</si>
  <si>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</si>
  <si>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</si>
  <si>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</si>
  <si>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</si>
  <si>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</si>
  <si>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</si>
  <si>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</si>
  <si>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</si>
  <si>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</si>
  <si>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</si>
  <si>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</si>
  <si>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</si>
  <si>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</si>
  <si>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</si>
  <si>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</si>
  <si>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</si>
  <si>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</si>
  <si>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</si>
  <si>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</si>
  <si>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</si>
  <si>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</si>
  <si>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</si>
  <si>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</si>
  <si>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</si>
  <si>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</si>
  <si>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</si>
  <si>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</si>
  <si>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</si>
  <si>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</si>
  <si>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</si>
  <si>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</si>
  <si>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</si>
  <si>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</si>
  <si>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</si>
  <si>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</si>
  <si>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</si>
  <si>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</si>
  <si>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</si>
  <si>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</si>
  <si>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</si>
  <si>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</si>
  <si>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</si>
  <si>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</si>
  <si>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</si>
  <si>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</si>
  <si>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</si>
  <si>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</si>
  <si>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</si>
  <si>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</si>
  <si>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</si>
  <si>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</si>
  <si>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</si>
  <si>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</si>
  <si>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</si>
  <si>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</si>
  <si>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</si>
  <si>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</si>
  <si>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</si>
  <si>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</si>
  <si>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</si>
  <si>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</si>
  <si>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</si>
  <si>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</si>
  <si>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</si>
  <si>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</si>
  <si>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</si>
  <si>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</si>
  <si>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</si>
  <si>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</si>
  <si>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</si>
  <si>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</si>
  <si>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</si>
  <si>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</si>
  <si>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</si>
  <si>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</si>
  <si>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</si>
  <si>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</si>
  <si>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</si>
  <si>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</si>
  <si>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</si>
  <si>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</si>
  <si>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</si>
  <si>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</si>
  <si>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</si>
  <si>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</si>
  <si>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</si>
  <si>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</si>
  <si>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</si>
  <si>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</si>
  <si>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</si>
  <si>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</si>
  <si>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</si>
  <si>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</si>
  <si>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</si>
  <si>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</si>
  <si>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</si>
  <si>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</si>
  <si>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</si>
  <si>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</si>
  <si>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</si>
  <si>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</si>
  <si>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</si>
  <si>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</si>
  <si>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</si>
  <si>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</si>
  <si>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</si>
  <si>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</si>
  <si>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</si>
  <si>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</si>
  <si>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</si>
  <si>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</si>
  <si>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</si>
  <si>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</si>
  <si>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</si>
  <si>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</si>
  <si>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</si>
  <si>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</si>
  <si>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</si>
  <si>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</si>
  <si>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</si>
  <si>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</si>
  <si>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</si>
  <si>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</si>
  <si>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</si>
  <si>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</si>
  <si>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</si>
  <si>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</si>
  <si>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</si>
  <si>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</si>
  <si>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</si>
  <si>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</si>
  <si>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</si>
  <si>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</si>
  <si>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</si>
  <si>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</si>
  <si>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</si>
  <si>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</si>
  <si>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</si>
  <si>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</si>
  <si>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</si>
  <si>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</si>
  <si>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</si>
  <si>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</si>
  <si>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</si>
  <si>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</si>
  <si>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</si>
  <si>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</si>
  <si>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</si>
  <si>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</si>
  <si>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</si>
  <si>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</si>
  <si>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</si>
  <si>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</si>
  <si>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</si>
  <si>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</si>
  <si>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</si>
  <si>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</si>
  <si>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</si>
  <si>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</si>
  <si>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</si>
  <si>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</si>
  <si>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</si>
  <si>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</si>
  <si>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</si>
  <si>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</si>
  <si>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</si>
  <si>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</si>
  <si>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</si>
  <si>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</si>
  <si>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</si>
  <si>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</si>
  <si>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</si>
  <si>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</si>
  <si>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</si>
  <si>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</si>
  <si>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</si>
  <si>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</si>
  <si>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</si>
  <si>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</si>
  <si>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</si>
  <si>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</si>
  <si>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</si>
  <si>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</si>
  <si>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</si>
  <si>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</si>
  <si>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</si>
  <si>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</si>
  <si>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</si>
  <si>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</si>
  <si>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</si>
  <si>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</si>
  <si>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</si>
  <si>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</si>
  <si>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</si>
  <si>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</si>
  <si>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</si>
  <si>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</si>
  <si>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</si>
  <si>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</si>
  <si>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</si>
  <si>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</si>
  <si>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</si>
  <si>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</si>
  <si>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</si>
  <si>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</si>
  <si>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</si>
  <si>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</si>
  <si>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</si>
  <si>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</si>
  <si>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</si>
  <si>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</si>
  <si>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</si>
  <si>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</si>
  <si>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</si>
  <si>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</si>
  <si>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</si>
  <si>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</si>
  <si>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</si>
  <si>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</si>
  <si>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</si>
  <si>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</si>
  <si>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</si>
  <si>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</si>
  <si>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</si>
  <si>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</si>
  <si>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</si>
  <si>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</si>
  <si>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</si>
  <si>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</si>
  <si>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</si>
  <si>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</si>
  <si>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</si>
  <si>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</si>
  <si>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</si>
  <si>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</si>
  <si>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</si>
  <si>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</si>
  <si>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</si>
  <si>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</si>
  <si>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</si>
  <si>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</si>
  <si>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</si>
  <si>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</si>
  <si>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</si>
  <si>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</si>
  <si>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</si>
  <si>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</si>
  <si>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</si>
  <si>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</si>
  <si>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</si>
  <si>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</si>
  <si>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</si>
  <si>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</si>
  <si>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</si>
  <si>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</si>
  <si>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</si>
  <si>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</si>
  <si>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</si>
  <si>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</si>
  <si>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</si>
  <si>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</si>
  <si>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</si>
  <si>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</si>
  <si>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</si>
  <si>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</si>
  <si>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</si>
  <si>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</si>
  <si>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</si>
  <si>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</si>
  <si>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</si>
  <si>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</si>
  <si>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</si>
  <si>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</si>
  <si>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</si>
  <si>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</si>
  <si>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</si>
  <si>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</si>
  <si>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</si>
  <si>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</si>
  <si>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</si>
  <si>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</si>
  <si>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</si>
  <si>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</si>
  <si>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</si>
  <si>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</si>
  <si>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</si>
  <si>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</si>
  <si>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</si>
  <si>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</si>
  <si>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</si>
  <si>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</si>
  <si>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</si>
  <si>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</si>
  <si>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</si>
  <si>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</si>
  <si>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</si>
  <si>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</si>
  <si>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</si>
  <si>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</si>
  <si>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</si>
  <si>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</si>
  <si>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</si>
  <si>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</si>
  <si>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</si>
  <si>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</si>
  <si>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</si>
  <si>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</si>
  <si>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</si>
  <si>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</si>
  <si>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</si>
  <si>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</si>
  <si>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</si>
  <si>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</si>
  <si>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</si>
  <si>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</si>
  <si>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</si>
  <si>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</si>
  <si>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</si>
  <si>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</si>
  <si>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</si>
  <si>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</si>
  <si>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</si>
  <si>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</si>
  <si>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</si>
  <si>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</si>
  <si>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</si>
  <si>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</si>
  <si>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</si>
  <si>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</si>
  <si>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</si>
  <si>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</si>
  <si>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</si>
  <si>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</si>
  <si>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</si>
  <si>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</si>
  <si>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</si>
  <si>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</si>
  <si>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</si>
  <si>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</si>
  <si>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</si>
  <si>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</si>
  <si>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</si>
  <si>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</si>
  <si>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</si>
  <si>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</si>
  <si>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</si>
  <si>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</si>
  <si>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</si>
  <si>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</si>
  <si>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</si>
  <si>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</si>
  <si>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</si>
  <si>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</si>
  <si>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</si>
  <si>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</si>
  <si>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</si>
  <si>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</si>
  <si>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</si>
  <si>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</si>
  <si>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</si>
  <si>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</si>
  <si>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</si>
  <si>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</si>
  <si>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</si>
  <si>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</si>
  <si>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</si>
  <si>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</si>
  <si>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</si>
  <si>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</si>
  <si>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</si>
  <si>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</si>
  <si>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</si>
  <si>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</si>
  <si>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</si>
  <si>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</si>
  <si>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</si>
  <si>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</si>
  <si>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</si>
  <si>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</si>
  <si>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</si>
  <si>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</si>
  <si>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</si>
  <si>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</si>
  <si>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</si>
  <si>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</si>
  <si>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</si>
  <si>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</si>
  <si>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</si>
  <si>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</si>
  <si>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</si>
  <si>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</si>
  <si>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</si>
  <si>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</si>
  <si>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</si>
  <si>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</si>
  <si>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</si>
  <si>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</si>
  <si>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</si>
  <si>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</si>
  <si>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</si>
  <si>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</si>
  <si>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</si>
  <si>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</si>
  <si>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</si>
  <si>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</si>
  <si>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</si>
  <si>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</si>
  <si>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</si>
  <si>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</si>
  <si>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</si>
  <si>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</si>
  <si>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</si>
  <si>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</si>
  <si>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</si>
  <si>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</si>
  <si>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</si>
  <si>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</si>
  <si>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</si>
  <si>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</si>
  <si>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</si>
  <si>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</si>
  <si>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</si>
  <si>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</si>
  <si>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</si>
  <si>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</si>
  <si>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</si>
  <si>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</si>
  <si>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</si>
  <si>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</si>
  <si>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</si>
  <si>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</si>
  <si>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</si>
  <si>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</si>
  <si>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</si>
  <si>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</si>
  <si>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</si>
  <si>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</si>
  <si>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</si>
  <si>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</si>
  <si>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</si>
  <si>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</si>
  <si>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</si>
  <si>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</si>
  <si>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</si>
  <si>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</si>
  <si>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</si>
  <si>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</si>
  <si>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</si>
  <si>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</si>
  <si>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</si>
  <si>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</si>
  <si>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</si>
  <si>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</si>
  <si>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</si>
  <si>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</si>
  <si>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</si>
  <si>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</si>
  <si>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</si>
  <si>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</si>
  <si>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</si>
  <si>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</si>
  <si>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</si>
  <si>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</si>
  <si>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</si>
  <si>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</si>
  <si>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</si>
  <si>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</si>
  <si>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</si>
  <si>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</si>
  <si>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</si>
  <si>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</si>
  <si>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</si>
  <si>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</si>
  <si>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</si>
  <si>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</si>
  <si>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</si>
  <si>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</si>
  <si>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</si>
  <si>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</si>
  <si>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</si>
  <si>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</si>
  <si>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</si>
  <si>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</si>
  <si>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</si>
  <si>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</si>
  <si>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</si>
  <si>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</si>
  <si>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</si>
  <si>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</si>
  <si>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</si>
  <si>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</si>
  <si>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</si>
  <si>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</si>
  <si>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</si>
  <si>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</si>
  <si>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</si>
  <si>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</si>
  <si>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</si>
  <si>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</si>
  <si>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</si>
  <si>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</si>
  <si>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</si>
  <si>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</si>
  <si>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</si>
  <si>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</si>
  <si>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</si>
  <si>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</si>
  <si>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</si>
  <si>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</si>
  <si>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</si>
  <si>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</si>
  <si>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</si>
  <si>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</si>
  <si>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</si>
  <si>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</si>
  <si>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</si>
  <si>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</si>
  <si>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</si>
  <si>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</si>
  <si>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</si>
  <si>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</si>
  <si>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</si>
  <si>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</si>
  <si>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</si>
  <si>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</si>
  <si>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</si>
  <si>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</si>
  <si>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</si>
  <si>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</si>
  <si>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</si>
  <si>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</si>
  <si>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</si>
  <si>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</si>
  <si>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</si>
  <si>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</si>
  <si>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</si>
  <si>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</si>
  <si>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</si>
  <si>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</si>
  <si>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</si>
  <si>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</si>
  <si>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</si>
  <si>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</si>
  <si>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</si>
  <si>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</si>
  <si>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</si>
  <si>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</si>
  <si>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</si>
  <si>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</si>
  <si>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</si>
  <si>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</si>
  <si>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</si>
  <si>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</si>
  <si>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</si>
  <si>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</si>
  <si>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</si>
  <si>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</si>
  <si>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</si>
  <si>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</si>
  <si>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</si>
  <si>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</si>
  <si>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</si>
  <si>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</si>
  <si>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</si>
  <si>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</si>
  <si>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</si>
  <si>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</si>
  <si>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</si>
  <si>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</si>
  <si>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</si>
  <si>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</si>
  <si>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</si>
  <si>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</si>
  <si>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</si>
  <si>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</si>
  <si>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</si>
  <si>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</si>
  <si>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</si>
  <si>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</si>
  <si>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</si>
  <si>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</si>
  <si>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</si>
  <si>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</si>
  <si>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</si>
  <si>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</si>
  <si>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</si>
  <si>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</si>
  <si>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</si>
  <si>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</si>
  <si>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</si>
  <si>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</si>
  <si>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</si>
  <si>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</si>
  <si>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</si>
  <si>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</si>
  <si>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</si>
  <si>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</si>
  <si>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</si>
  <si>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</si>
  <si>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</si>
  <si>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</si>
  <si>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</si>
  <si>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</si>
  <si>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</si>
  <si>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</si>
  <si>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</si>
  <si>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</si>
  <si>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</si>
  <si>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</si>
  <si>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</si>
  <si>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</si>
  <si>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</si>
  <si>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</si>
  <si>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</si>
  <si>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</si>
  <si>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</si>
  <si>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</si>
  <si>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</si>
  <si>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</si>
  <si>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</si>
  <si>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</si>
  <si>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</si>
  <si>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</si>
  <si>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</si>
  <si>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</si>
  <si>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</si>
  <si>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</si>
  <si>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</si>
  <si>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</si>
  <si>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</si>
  <si>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</si>
  <si>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</si>
  <si>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</si>
  <si>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</si>
  <si>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</si>
  <si>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</si>
  <si>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</si>
  <si>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</si>
  <si>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</si>
  <si>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</si>
  <si>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</si>
  <si>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</si>
  <si>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</si>
  <si>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</si>
  <si>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</si>
  <si>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</si>
  <si>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</si>
  <si>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</si>
  <si>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</si>
  <si>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</si>
  <si>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</si>
  <si>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</si>
  <si>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</si>
  <si>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</si>
  <si>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</si>
  <si>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</si>
  <si>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</si>
  <si>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</si>
  <si>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</si>
  <si>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</si>
  <si>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</si>
  <si>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</si>
  <si>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</si>
  <si>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</si>
  <si>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</si>
  <si>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</si>
  <si>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</si>
  <si>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</si>
  <si>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</si>
  <si>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</si>
  <si>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</si>
  <si>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</si>
  <si>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</si>
  <si>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</si>
  <si>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</si>
  <si>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</si>
  <si>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</si>
  <si>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</si>
  <si>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</si>
  <si>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</si>
  <si>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</si>
  <si>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</si>
  <si>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</si>
  <si>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</si>
  <si>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</si>
  <si>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</si>
  <si>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</si>
  <si>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</si>
  <si>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</si>
  <si>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</si>
  <si>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</si>
  <si>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</si>
  <si>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</si>
  <si>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</si>
  <si>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</si>
  <si>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</si>
  <si>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</si>
  <si>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</si>
  <si>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</si>
  <si>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</si>
  <si>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</si>
  <si>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</si>
  <si>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</si>
  <si>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</si>
  <si>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</si>
  <si>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</si>
  <si>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</si>
  <si>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</si>
  <si>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</si>
  <si>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</si>
  <si>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</si>
  <si>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</si>
  <si>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</si>
  <si>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</si>
  <si>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</si>
  <si>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</si>
  <si>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</si>
  <si>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</si>
  <si>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</si>
  <si>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</si>
  <si>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</si>
  <si>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</si>
  <si>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</si>
  <si>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</si>
  <si>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</si>
  <si>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</si>
  <si>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</si>
  <si>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</si>
  <si>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</si>
  <si>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</si>
  <si>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</si>
  <si>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</si>
  <si>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</si>
  <si>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</si>
  <si>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</si>
  <si>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</si>
  <si>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</si>
  <si>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</si>
  <si>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</si>
  <si>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</si>
  <si>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</si>
  <si>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</si>
  <si>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</si>
  <si>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</si>
  <si>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</si>
  <si>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</si>
  <si>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</si>
  <si>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</si>
  <si>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</si>
  <si>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</si>
  <si>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</si>
  <si>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</si>
  <si>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</si>
  <si>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</si>
  <si>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</si>
  <si>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13013</t>
  </si>
  <si>
    <t>HERSELT</t>
  </si>
  <si>
    <t>Paarden&amp;pony's 200 - 600 kg</t>
  </si>
  <si>
    <t>Paarden&amp;pony's &lt; 200 kg</t>
  </si>
  <si>
    <t>Fluvius</t>
  </si>
  <si>
    <t xml:space="preserve">Bron: </t>
  </si>
  <si>
    <t>referentietaak LNE (2017); Jaarverslag De Lijn</t>
  </si>
  <si>
    <t>Tuinbouwbedrijf Van Den Heuvel bvba</t>
  </si>
  <si>
    <t>Begijnendijksesteenweg 43 A, 2230 Herselt</t>
  </si>
  <si>
    <t>WKK-0179 Tuinbouwbedrijf Van Den Heuvel bvba</t>
  </si>
  <si>
    <t>interne verbrandingsmotor</t>
  </si>
  <si>
    <t>WKK interne verbrandinsgmotor (gas)</t>
  </si>
  <si>
    <t>IVERLEK</t>
  </si>
  <si>
    <t>Gromo bvba</t>
  </si>
  <si>
    <t>Hoog-Lachenen 65 , 2500 Lier</t>
  </si>
  <si>
    <t>WKK-0304 Gromo</t>
  </si>
  <si>
    <t>WKK interne verbrandinsgmotor (vloeibaar)</t>
  </si>
  <si>
    <t>Beningstraat 38 , 2230 Herselt</t>
  </si>
  <si>
    <t>Greenergy bvba</t>
  </si>
  <si>
    <t>Dieperstraat 110 , 2230 Herselt</t>
  </si>
  <si>
    <t>WKK-0247 Greenergy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</si>
</sst>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13013</v>
      </c>
      <c r="B6" s="386"/>
      <c r="C6" s="387"/>
    </row>
    <row r="7" spans="1:7" s="384" customFormat="1" ht="15.75" customHeight="1">
      <c r="A7" s="388" t="str">
        <f>txtMunicipality</f>
        <v>HERSELT</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10446.9356562946</v>
      </c>
      <c r="D10" s="676">
        <f ca="1">tertiair!C16</f>
        <v>0</v>
      </c>
      <c r="E10" s="676">
        <f ca="1">tertiair!D16</f>
        <v>8104.2393824176179</v>
      </c>
      <c r="F10" s="676">
        <f>tertiair!E16</f>
        <v>188.37306212305901</v>
      </c>
      <c r="G10" s="676">
        <f ca="1">tertiair!F16</f>
        <v>1682.7812030694877</v>
      </c>
      <c r="H10" s="676">
        <f>tertiair!G16</f>
        <v>0</v>
      </c>
      <c r="I10" s="676">
        <f>tertiair!H16</f>
        <v>0</v>
      </c>
      <c r="J10" s="676">
        <f>tertiair!I16</f>
        <v>0</v>
      </c>
      <c r="K10" s="676">
        <f>tertiair!J16</f>
        <v>0</v>
      </c>
      <c r="L10" s="676">
        <f>tertiair!K16</f>
        <v>0</v>
      </c>
      <c r="M10" s="676">
        <f ca="1">tertiair!L16</f>
        <v>0</v>
      </c>
      <c r="N10" s="676">
        <f>tertiair!M16</f>
        <v>0</v>
      </c>
      <c r="O10" s="676">
        <f ca="1">tertiair!N16</f>
        <v>298.99368918462449</v>
      </c>
      <c r="P10" s="676">
        <f>tertiair!O16</f>
        <v>0</v>
      </c>
      <c r="Q10" s="677">
        <f>tertiair!P16</f>
        <v>19.066666666666666</v>
      </c>
      <c r="R10" s="679">
        <f ca="1">SUM(C10:Q10)</f>
        <v>20740.389659756052</v>
      </c>
      <c r="S10" s="67"/>
    </row>
    <row r="11" spans="1:19" s="445" customFormat="1">
      <c r="A11" s="791" t="s">
        <v>220</v>
      </c>
      <c r="B11" s="796"/>
      <c r="C11" s="676">
        <f>huishoudens!B8</f>
        <v>27331.318651030106</v>
      </c>
      <c r="D11" s="676">
        <f>huishoudens!C8</f>
        <v>0</v>
      </c>
      <c r="E11" s="676">
        <f>huishoudens!D8</f>
        <v>25334.887974566358</v>
      </c>
      <c r="F11" s="676">
        <f>huishoudens!E8</f>
        <v>2042.0878744528111</v>
      </c>
      <c r="G11" s="676">
        <f>huishoudens!F8</f>
        <v>69705.43544124761</v>
      </c>
      <c r="H11" s="676">
        <f>huishoudens!G8</f>
        <v>0</v>
      </c>
      <c r="I11" s="676">
        <f>huishoudens!H8</f>
        <v>0</v>
      </c>
      <c r="J11" s="676">
        <f>huishoudens!I8</f>
        <v>0</v>
      </c>
      <c r="K11" s="676">
        <f>huishoudens!J8</f>
        <v>1569.5896828398377</v>
      </c>
      <c r="L11" s="676">
        <f>huishoudens!K8</f>
        <v>0</v>
      </c>
      <c r="M11" s="676">
        <f>huishoudens!L8</f>
        <v>0</v>
      </c>
      <c r="N11" s="676">
        <f>huishoudens!M8</f>
        <v>0</v>
      </c>
      <c r="O11" s="676">
        <f>huishoudens!N8</f>
        <v>7728.394817939914</v>
      </c>
      <c r="P11" s="676">
        <f>huishoudens!O8</f>
        <v>84.42</v>
      </c>
      <c r="Q11" s="677">
        <f>huishoudens!P8</f>
        <v>476.66666666666663</v>
      </c>
      <c r="R11" s="679">
        <f>SUM(C11:Q11)</f>
        <v>134272.8011087433</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5375.6853757122744</v>
      </c>
      <c r="D13" s="676">
        <f>industrie!C18</f>
        <v>0</v>
      </c>
      <c r="E13" s="676">
        <f>industrie!D18</f>
        <v>6869.2632613632331</v>
      </c>
      <c r="F13" s="676">
        <f>industrie!E18</f>
        <v>54.328679439495431</v>
      </c>
      <c r="G13" s="676">
        <f>industrie!F18</f>
        <v>1489.0187580845816</v>
      </c>
      <c r="H13" s="676">
        <f>industrie!G18</f>
        <v>0</v>
      </c>
      <c r="I13" s="676">
        <f>industrie!H18</f>
        <v>0</v>
      </c>
      <c r="J13" s="676">
        <f>industrie!I18</f>
        <v>0</v>
      </c>
      <c r="K13" s="676">
        <f>industrie!J18</f>
        <v>30.445623674230205</v>
      </c>
      <c r="L13" s="676">
        <f>industrie!K18</f>
        <v>0</v>
      </c>
      <c r="M13" s="676">
        <f>industrie!L18</f>
        <v>0</v>
      </c>
      <c r="N13" s="676">
        <f>industrie!M18</f>
        <v>0</v>
      </c>
      <c r="O13" s="676">
        <f>industrie!N18</f>
        <v>136.65704035826775</v>
      </c>
      <c r="P13" s="676">
        <f>industrie!O18</f>
        <v>0</v>
      </c>
      <c r="Q13" s="677">
        <f>industrie!P18</f>
        <v>0</v>
      </c>
      <c r="R13" s="679">
        <f>SUM(C13:Q13)</f>
        <v>13955.398738632082</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43153.939683036981</v>
      </c>
      <c r="D16" s="709">
        <f t="shared" ref="D16:R16" ca="1" si="0">SUM(D9:D15)</f>
        <v>0</v>
      </c>
      <c r="E16" s="709">
        <f t="shared" ca="1" si="0"/>
        <v>40308.390618347206</v>
      </c>
      <c r="F16" s="709">
        <f t="shared" si="0"/>
        <v>2284.7896160153655</v>
      </c>
      <c r="G16" s="709">
        <f t="shared" ca="1" si="0"/>
        <v>72877.235402401682</v>
      </c>
      <c r="H16" s="709">
        <f t="shared" si="0"/>
        <v>0</v>
      </c>
      <c r="I16" s="709">
        <f t="shared" si="0"/>
        <v>0</v>
      </c>
      <c r="J16" s="709">
        <f t="shared" si="0"/>
        <v>0</v>
      </c>
      <c r="K16" s="709">
        <f t="shared" si="0"/>
        <v>1600.035306514068</v>
      </c>
      <c r="L16" s="709">
        <f t="shared" si="0"/>
        <v>0</v>
      </c>
      <c r="M16" s="709">
        <f t="shared" ca="1" si="0"/>
        <v>0</v>
      </c>
      <c r="N16" s="709">
        <f t="shared" si="0"/>
        <v>0</v>
      </c>
      <c r="O16" s="709">
        <f t="shared" ca="1" si="0"/>
        <v>8164.0455474828068</v>
      </c>
      <c r="P16" s="709">
        <f t="shared" si="0"/>
        <v>84.42</v>
      </c>
      <c r="Q16" s="709">
        <f t="shared" si="0"/>
        <v>495.73333333333329</v>
      </c>
      <c r="R16" s="709">
        <f t="shared" ca="1" si="0"/>
        <v>168968.58950713143</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5.9960699271858795</v>
      </c>
      <c r="D19" s="676">
        <f>transport!C54</f>
        <v>0</v>
      </c>
      <c r="E19" s="676">
        <f>transport!D54</f>
        <v>0</v>
      </c>
      <c r="F19" s="676">
        <f>transport!E54</f>
        <v>0</v>
      </c>
      <c r="G19" s="676">
        <f>transport!F54</f>
        <v>0</v>
      </c>
      <c r="H19" s="676">
        <f>transport!G54</f>
        <v>1300.7871710102254</v>
      </c>
      <c r="I19" s="676">
        <f>transport!H54</f>
        <v>0</v>
      </c>
      <c r="J19" s="676">
        <f>transport!I54</f>
        <v>0</v>
      </c>
      <c r="K19" s="676">
        <f>transport!J54</f>
        <v>0</v>
      </c>
      <c r="L19" s="676">
        <f>transport!K54</f>
        <v>0</v>
      </c>
      <c r="M19" s="676">
        <f>transport!L54</f>
        <v>0</v>
      </c>
      <c r="N19" s="676">
        <f>transport!M54</f>
        <v>55.694710015201927</v>
      </c>
      <c r="O19" s="676">
        <f>transport!N54</f>
        <v>0</v>
      </c>
      <c r="P19" s="676">
        <f>transport!O54</f>
        <v>0</v>
      </c>
      <c r="Q19" s="677">
        <f>transport!P54</f>
        <v>0</v>
      </c>
      <c r="R19" s="679">
        <f>SUM(C19:Q19)</f>
        <v>1362.4779509526131</v>
      </c>
      <c r="S19" s="67"/>
    </row>
    <row r="20" spans="1:19" s="445" customFormat="1">
      <c r="A20" s="791" t="s">
        <v>302</v>
      </c>
      <c r="B20" s="796"/>
      <c r="C20" s="676">
        <f>transport!B14</f>
        <v>1.168806542330294</v>
      </c>
      <c r="D20" s="676">
        <f>transport!C14</f>
        <v>0</v>
      </c>
      <c r="E20" s="676">
        <f>transport!D14</f>
        <v>3.7824496092588324</v>
      </c>
      <c r="F20" s="676">
        <f>transport!E14</f>
        <v>391.6929990632039</v>
      </c>
      <c r="G20" s="676">
        <f>transport!F14</f>
        <v>0</v>
      </c>
      <c r="H20" s="676">
        <f>transport!G14</f>
        <v>64937.345061156731</v>
      </c>
      <c r="I20" s="676">
        <f>transport!H14</f>
        <v>12519.304072644236</v>
      </c>
      <c r="J20" s="676">
        <f>transport!I14</f>
        <v>0</v>
      </c>
      <c r="K20" s="676">
        <f>transport!J14</f>
        <v>0</v>
      </c>
      <c r="L20" s="676">
        <f>transport!K14</f>
        <v>0</v>
      </c>
      <c r="M20" s="676">
        <f>transport!L14</f>
        <v>0</v>
      </c>
      <c r="N20" s="676">
        <f>transport!M14</f>
        <v>3373.6491878343104</v>
      </c>
      <c r="O20" s="676">
        <f>transport!N14</f>
        <v>0</v>
      </c>
      <c r="P20" s="676">
        <f>transport!O14</f>
        <v>0</v>
      </c>
      <c r="Q20" s="677">
        <f>transport!P14</f>
        <v>0</v>
      </c>
      <c r="R20" s="679">
        <f>SUM(C20:Q20)</f>
        <v>81226.942576850066</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7.1648764695161731</v>
      </c>
      <c r="D22" s="794">
        <f t="shared" ref="D22:R22" si="1">SUM(D18:D21)</f>
        <v>0</v>
      </c>
      <c r="E22" s="794">
        <f t="shared" si="1"/>
        <v>3.7824496092588324</v>
      </c>
      <c r="F22" s="794">
        <f t="shared" si="1"/>
        <v>391.6929990632039</v>
      </c>
      <c r="G22" s="794">
        <f t="shared" si="1"/>
        <v>0</v>
      </c>
      <c r="H22" s="794">
        <f t="shared" si="1"/>
        <v>66238.132232166958</v>
      </c>
      <c r="I22" s="794">
        <f t="shared" si="1"/>
        <v>12519.304072644236</v>
      </c>
      <c r="J22" s="794">
        <f t="shared" si="1"/>
        <v>0</v>
      </c>
      <c r="K22" s="794">
        <f t="shared" si="1"/>
        <v>0</v>
      </c>
      <c r="L22" s="794">
        <f t="shared" si="1"/>
        <v>0</v>
      </c>
      <c r="M22" s="794">
        <f t="shared" si="1"/>
        <v>0</v>
      </c>
      <c r="N22" s="794">
        <f t="shared" si="1"/>
        <v>3429.3438978495124</v>
      </c>
      <c r="O22" s="794">
        <f t="shared" si="1"/>
        <v>0</v>
      </c>
      <c r="P22" s="794">
        <f t="shared" si="1"/>
        <v>0</v>
      </c>
      <c r="Q22" s="794">
        <f t="shared" si="1"/>
        <v>0</v>
      </c>
      <c r="R22" s="794">
        <f t="shared" si="1"/>
        <v>82589.420527802678</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1442.1685824459719</v>
      </c>
      <c r="D24" s="676">
        <f>+landbouw!C8</f>
        <v>32653.928571428572</v>
      </c>
      <c r="E24" s="676">
        <f>+landbouw!D8</f>
        <v>4548.6609477550082</v>
      </c>
      <c r="F24" s="676">
        <f>+landbouw!E8</f>
        <v>15.102701612140192</v>
      </c>
      <c r="G24" s="676">
        <f>+landbouw!F8</f>
        <v>1561.0773482629083</v>
      </c>
      <c r="H24" s="676">
        <f>+landbouw!G8</f>
        <v>0</v>
      </c>
      <c r="I24" s="676">
        <f>+landbouw!H8</f>
        <v>0</v>
      </c>
      <c r="J24" s="676">
        <f>+landbouw!I8</f>
        <v>0</v>
      </c>
      <c r="K24" s="676">
        <f>+landbouw!J8</f>
        <v>128.79858078994937</v>
      </c>
      <c r="L24" s="676">
        <f>+landbouw!K8</f>
        <v>0</v>
      </c>
      <c r="M24" s="676">
        <f>+landbouw!L8</f>
        <v>0</v>
      </c>
      <c r="N24" s="676">
        <f>+landbouw!M8</f>
        <v>0</v>
      </c>
      <c r="O24" s="676">
        <f>+landbouw!N8</f>
        <v>0</v>
      </c>
      <c r="P24" s="676">
        <f>+landbouw!O8</f>
        <v>0</v>
      </c>
      <c r="Q24" s="677">
        <f>+landbouw!P8</f>
        <v>0</v>
      </c>
      <c r="R24" s="679">
        <f>SUM(C24:Q24)</f>
        <v>40349.736732294543</v>
      </c>
      <c r="S24" s="67"/>
    </row>
    <row r="25" spans="1:19" s="445" customFormat="1" ht="15" thickBot="1">
      <c r="A25" s="813" t="s">
        <v>895</v>
      </c>
      <c r="B25" s="968"/>
      <c r="C25" s="969">
        <f>IF(Onbekend_ele_kWh="---",0,Onbekend_ele_kWh)/1000+IF(REST_rest_ele_kWh="---",0,REST_rest_ele_kWh)/1000</f>
        <v>1915.2157372105798</v>
      </c>
      <c r="D25" s="969"/>
      <c r="E25" s="969">
        <f>IF(onbekend_gas_kWh="---",0,onbekend_gas_kWh)/1000+IF(REST_rest_gas_kWh="---",0,REST_rest_gas_kWh)/1000</f>
        <v>1420.8526467947202</v>
      </c>
      <c r="F25" s="969"/>
      <c r="G25" s="969"/>
      <c r="H25" s="969"/>
      <c r="I25" s="969"/>
      <c r="J25" s="969"/>
      <c r="K25" s="969"/>
      <c r="L25" s="969"/>
      <c r="M25" s="969"/>
      <c r="N25" s="969"/>
      <c r="O25" s="969"/>
      <c r="P25" s="969"/>
      <c r="Q25" s="970"/>
      <c r="R25" s="679">
        <f>SUM(C25:Q25)</f>
        <v>3336.0683840052998</v>
      </c>
      <c r="S25" s="67"/>
    </row>
    <row r="26" spans="1:19" s="445" customFormat="1" ht="15.75" thickBot="1">
      <c r="A26" s="682" t="s">
        <v>896</v>
      </c>
      <c r="B26" s="799"/>
      <c r="C26" s="794">
        <f>SUM(C24:C25)</f>
        <v>3357.3843196565517</v>
      </c>
      <c r="D26" s="794">
        <f t="shared" ref="D26:R26" si="2">SUM(D24:D25)</f>
        <v>32653.928571428572</v>
      </c>
      <c r="E26" s="794">
        <f t="shared" si="2"/>
        <v>5969.5135945497286</v>
      </c>
      <c r="F26" s="794">
        <f t="shared" si="2"/>
        <v>15.102701612140192</v>
      </c>
      <c r="G26" s="794">
        <f t="shared" si="2"/>
        <v>1561.0773482629083</v>
      </c>
      <c r="H26" s="794">
        <f t="shared" si="2"/>
        <v>0</v>
      </c>
      <c r="I26" s="794">
        <f t="shared" si="2"/>
        <v>0</v>
      </c>
      <c r="J26" s="794">
        <f t="shared" si="2"/>
        <v>0</v>
      </c>
      <c r="K26" s="794">
        <f t="shared" si="2"/>
        <v>128.79858078994937</v>
      </c>
      <c r="L26" s="794">
        <f t="shared" si="2"/>
        <v>0</v>
      </c>
      <c r="M26" s="794">
        <f t="shared" si="2"/>
        <v>0</v>
      </c>
      <c r="N26" s="794">
        <f t="shared" si="2"/>
        <v>0</v>
      </c>
      <c r="O26" s="794">
        <f t="shared" si="2"/>
        <v>0</v>
      </c>
      <c r="P26" s="794">
        <f t="shared" si="2"/>
        <v>0</v>
      </c>
      <c r="Q26" s="794">
        <f t="shared" si="2"/>
        <v>0</v>
      </c>
      <c r="R26" s="794">
        <f t="shared" si="2"/>
        <v>43685.805116299845</v>
      </c>
      <c r="S26" s="67"/>
    </row>
    <row r="27" spans="1:19" s="445" customFormat="1" ht="17.25" thickTop="1" thickBot="1">
      <c r="A27" s="683" t="s">
        <v>115</v>
      </c>
      <c r="B27" s="786"/>
      <c r="C27" s="684">
        <f ca="1">C22+C16+C26</f>
        <v>46518.488879163044</v>
      </c>
      <c r="D27" s="684">
        <f t="shared" ref="D27:R27" ca="1" si="3">D22+D16+D26</f>
        <v>32653.928571428572</v>
      </c>
      <c r="E27" s="684">
        <f t="shared" ca="1" si="3"/>
        <v>46281.686662506196</v>
      </c>
      <c r="F27" s="684">
        <f t="shared" si="3"/>
        <v>2691.5853166907095</v>
      </c>
      <c r="G27" s="684">
        <f t="shared" ca="1" si="3"/>
        <v>74438.312750664598</v>
      </c>
      <c r="H27" s="684">
        <f t="shared" si="3"/>
        <v>66238.132232166958</v>
      </c>
      <c r="I27" s="684">
        <f t="shared" si="3"/>
        <v>12519.304072644236</v>
      </c>
      <c r="J27" s="684">
        <f t="shared" si="3"/>
        <v>0</v>
      </c>
      <c r="K27" s="684">
        <f t="shared" si="3"/>
        <v>1728.8338873040175</v>
      </c>
      <c r="L27" s="684">
        <f t="shared" si="3"/>
        <v>0</v>
      </c>
      <c r="M27" s="684">
        <f t="shared" ca="1" si="3"/>
        <v>0</v>
      </c>
      <c r="N27" s="684">
        <f t="shared" si="3"/>
        <v>3429.3438978495124</v>
      </c>
      <c r="O27" s="684">
        <f t="shared" ca="1" si="3"/>
        <v>8164.0455474828068</v>
      </c>
      <c r="P27" s="684">
        <f t="shared" si="3"/>
        <v>84.42</v>
      </c>
      <c r="Q27" s="684">
        <f t="shared" si="3"/>
        <v>495.73333333333329</v>
      </c>
      <c r="R27" s="684">
        <f t="shared" ca="1" si="3"/>
        <v>295243.81515123392</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1476.4162778645136</v>
      </c>
      <c r="D40" s="676">
        <f ca="1">tertiair!C20</f>
        <v>0</v>
      </c>
      <c r="E40" s="676">
        <f ca="1">tertiair!D20</f>
        <v>1637.0563552483588</v>
      </c>
      <c r="F40" s="676">
        <f>tertiair!E20</f>
        <v>42.760685101934399</v>
      </c>
      <c r="G40" s="676">
        <f ca="1">tertiair!F20</f>
        <v>449.30258121955325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3605.5358994343601</v>
      </c>
    </row>
    <row r="41" spans="1:18">
      <c r="A41" s="804" t="s">
        <v>220</v>
      </c>
      <c r="B41" s="811"/>
      <c r="C41" s="676">
        <f ca="1">huishoudens!B12</f>
        <v>3862.6067087499732</v>
      </c>
      <c r="D41" s="676">
        <f ca="1">huishoudens!C12</f>
        <v>0</v>
      </c>
      <c r="E41" s="676">
        <f>huishoudens!D12</f>
        <v>5117.6473708624044</v>
      </c>
      <c r="F41" s="676">
        <f>huishoudens!E12</f>
        <v>463.55394750078813</v>
      </c>
      <c r="G41" s="676">
        <f>huishoudens!F12</f>
        <v>18611.351262813114</v>
      </c>
      <c r="H41" s="676">
        <f>huishoudens!G12</f>
        <v>0</v>
      </c>
      <c r="I41" s="676">
        <f>huishoudens!H12</f>
        <v>0</v>
      </c>
      <c r="J41" s="676">
        <f>huishoudens!I12</f>
        <v>0</v>
      </c>
      <c r="K41" s="676">
        <f>huishoudens!J12</f>
        <v>555.63474772530253</v>
      </c>
      <c r="L41" s="676">
        <f>huishoudens!K12</f>
        <v>0</v>
      </c>
      <c r="M41" s="676">
        <f>huishoudens!L12</f>
        <v>0</v>
      </c>
      <c r="N41" s="676">
        <f>huishoudens!M12</f>
        <v>0</v>
      </c>
      <c r="O41" s="676">
        <f>huishoudens!N12</f>
        <v>0</v>
      </c>
      <c r="P41" s="676">
        <f>huishoudens!O12</f>
        <v>0</v>
      </c>
      <c r="Q41" s="751">
        <f>huishoudens!P12</f>
        <v>0</v>
      </c>
      <c r="R41" s="832">
        <f t="shared" ca="1" si="4"/>
        <v>28610.794037651583</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759.72032895576228</v>
      </c>
      <c r="D43" s="676">
        <f ca="1">industrie!C22</f>
        <v>0</v>
      </c>
      <c r="E43" s="676">
        <f>industrie!D22</f>
        <v>1387.5911787953733</v>
      </c>
      <c r="F43" s="676">
        <f>industrie!E22</f>
        <v>12.332610232765463</v>
      </c>
      <c r="G43" s="676">
        <f>industrie!F22</f>
        <v>397.5680084085833</v>
      </c>
      <c r="H43" s="676">
        <f>industrie!G22</f>
        <v>0</v>
      </c>
      <c r="I43" s="676">
        <f>industrie!H22</f>
        <v>0</v>
      </c>
      <c r="J43" s="676">
        <f>industrie!I22</f>
        <v>0</v>
      </c>
      <c r="K43" s="676">
        <f>industrie!J22</f>
        <v>10.777750780677492</v>
      </c>
      <c r="L43" s="676">
        <f>industrie!K22</f>
        <v>0</v>
      </c>
      <c r="M43" s="676">
        <f>industrie!L22</f>
        <v>0</v>
      </c>
      <c r="N43" s="676">
        <f>industrie!M22</f>
        <v>0</v>
      </c>
      <c r="O43" s="676">
        <f>industrie!N22</f>
        <v>0</v>
      </c>
      <c r="P43" s="676">
        <f>industrie!O22</f>
        <v>0</v>
      </c>
      <c r="Q43" s="751">
        <f>industrie!P22</f>
        <v>0</v>
      </c>
      <c r="R43" s="831">
        <f t="shared" ca="1" si="4"/>
        <v>2567.9898771731623</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6098.7433155702493</v>
      </c>
      <c r="D46" s="709">
        <f t="shared" ref="D46:Q46" ca="1" si="5">SUM(D39:D45)</f>
        <v>0</v>
      </c>
      <c r="E46" s="709">
        <f t="shared" ca="1" si="5"/>
        <v>8142.2949049061372</v>
      </c>
      <c r="F46" s="709">
        <f t="shared" si="5"/>
        <v>518.64724283548799</v>
      </c>
      <c r="G46" s="709">
        <f t="shared" ca="1" si="5"/>
        <v>19458.221852441249</v>
      </c>
      <c r="H46" s="709">
        <f t="shared" si="5"/>
        <v>0</v>
      </c>
      <c r="I46" s="709">
        <f t="shared" si="5"/>
        <v>0</v>
      </c>
      <c r="J46" s="709">
        <f t="shared" si="5"/>
        <v>0</v>
      </c>
      <c r="K46" s="709">
        <f t="shared" si="5"/>
        <v>566.41249850598001</v>
      </c>
      <c r="L46" s="709">
        <f t="shared" si="5"/>
        <v>0</v>
      </c>
      <c r="M46" s="709">
        <f t="shared" ca="1" si="5"/>
        <v>0</v>
      </c>
      <c r="N46" s="709">
        <f t="shared" si="5"/>
        <v>0</v>
      </c>
      <c r="O46" s="709">
        <f t="shared" ca="1" si="5"/>
        <v>0</v>
      </c>
      <c r="P46" s="709">
        <f t="shared" si="5"/>
        <v>0</v>
      </c>
      <c r="Q46" s="709">
        <f t="shared" si="5"/>
        <v>0</v>
      </c>
      <c r="R46" s="709">
        <f ca="1">SUM(R39:R45)</f>
        <v>34784.319814259106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0.84739635956091108</v>
      </c>
      <c r="D49" s="676">
        <f ca="1">transport!C58</f>
        <v>0</v>
      </c>
      <c r="E49" s="676">
        <f>transport!D58</f>
        <v>0</v>
      </c>
      <c r="F49" s="676">
        <f>transport!E58</f>
        <v>0</v>
      </c>
      <c r="G49" s="676">
        <f>transport!F58</f>
        <v>0</v>
      </c>
      <c r="H49" s="676">
        <f>transport!G58</f>
        <v>347.31017465973019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348.15757101929108</v>
      </c>
    </row>
    <row r="50" spans="1:18">
      <c r="A50" s="807" t="s">
        <v>302</v>
      </c>
      <c r="B50" s="817"/>
      <c r="C50" s="975">
        <f ca="1">transport!B18</f>
        <v>0.16518193100301432</v>
      </c>
      <c r="D50" s="975">
        <f>transport!C18</f>
        <v>0</v>
      </c>
      <c r="E50" s="975">
        <f>transport!D18</f>
        <v>0.76405482107028422</v>
      </c>
      <c r="F50" s="975">
        <f>transport!E18</f>
        <v>88.91431078734729</v>
      </c>
      <c r="G50" s="975">
        <f>transport!F18</f>
        <v>0</v>
      </c>
      <c r="H50" s="975">
        <f>transport!G18</f>
        <v>17338.271131328849</v>
      </c>
      <c r="I50" s="975">
        <f>transport!H18</f>
        <v>3117.3067140884145</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20545.421392956687</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1.0125782905639253</v>
      </c>
      <c r="D52" s="709">
        <f t="shared" ref="D52:Q52" ca="1" si="6">SUM(D48:D51)</f>
        <v>0</v>
      </c>
      <c r="E52" s="709">
        <f t="shared" si="6"/>
        <v>0.76405482107028422</v>
      </c>
      <c r="F52" s="709">
        <f t="shared" si="6"/>
        <v>88.91431078734729</v>
      </c>
      <c r="G52" s="709">
        <f t="shared" si="6"/>
        <v>0</v>
      </c>
      <c r="H52" s="709">
        <f t="shared" si="6"/>
        <v>17685.58130598858</v>
      </c>
      <c r="I52" s="709">
        <f t="shared" si="6"/>
        <v>3117.3067140884145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20893.578963975979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203.81490234077305</v>
      </c>
      <c r="D54" s="975">
        <f ca="1">+landbouw!C12</f>
        <v>3025.2830859425912</v>
      </c>
      <c r="E54" s="975">
        <f>+landbouw!D12</f>
        <v>918.82951144651167</v>
      </c>
      <c r="F54" s="975">
        <f>+landbouw!E12</f>
        <v>3.4283132659558238</v>
      </c>
      <c r="G54" s="975">
        <f>+landbouw!F12</f>
        <v>416.80765198619656</v>
      </c>
      <c r="H54" s="975">
        <f>+landbouw!G12</f>
        <v>0</v>
      </c>
      <c r="I54" s="975">
        <f>+landbouw!H12</f>
        <v>0</v>
      </c>
      <c r="J54" s="975">
        <f>+landbouw!I12</f>
        <v>0</v>
      </c>
      <c r="K54" s="975">
        <f>+landbouw!J12</f>
        <v>45.594697599642075</v>
      </c>
      <c r="L54" s="975">
        <f>+landbouw!K12</f>
        <v>0</v>
      </c>
      <c r="M54" s="975">
        <f>+landbouw!L12</f>
        <v>0</v>
      </c>
      <c r="N54" s="975">
        <f>+landbouw!M12</f>
        <v>0</v>
      </c>
      <c r="O54" s="975">
        <f>+landbouw!N12</f>
        <v>0</v>
      </c>
      <c r="P54" s="975">
        <f>+landbouw!O12</f>
        <v>0</v>
      </c>
      <c r="Q54" s="976">
        <f>+landbouw!P12</f>
        <v>0</v>
      </c>
      <c r="R54" s="708">
        <f ca="1">SUM(C54:Q54)</f>
        <v>4613.7581625816701</v>
      </c>
    </row>
    <row r="55" spans="1:18" ht="15" thickBot="1">
      <c r="A55" s="807" t="s">
        <v>895</v>
      </c>
      <c r="B55" s="817"/>
      <c r="C55" s="975">
        <f ca="1">C25*'EF ele_warmte'!B12</f>
        <v>270.66843168850522</v>
      </c>
      <c r="D55" s="975"/>
      <c r="E55" s="975">
        <f>E25*EF_CO2_aardgas</f>
        <v>287.01223465253349</v>
      </c>
      <c r="F55" s="975"/>
      <c r="G55" s="975"/>
      <c r="H55" s="975"/>
      <c r="I55" s="975"/>
      <c r="J55" s="975"/>
      <c r="K55" s="975"/>
      <c r="L55" s="975"/>
      <c r="M55" s="975"/>
      <c r="N55" s="975"/>
      <c r="O55" s="975"/>
      <c r="P55" s="975"/>
      <c r="Q55" s="976"/>
      <c r="R55" s="708">
        <f ca="1">SUM(C55:Q55)</f>
        <v>557.68066634103866</v>
      </c>
    </row>
    <row r="56" spans="1:18" ht="15.75" thickBot="1">
      <c r="A56" s="805" t="s">
        <v>896</v>
      </c>
      <c r="B56" s="818"/>
      <c r="C56" s="709">
        <f ca="1">SUM(C54:C55)</f>
        <v>474.48333402927824</v>
      </c>
      <c r="D56" s="709">
        <f t="shared" ref="D56:Q56" ca="1" si="7">SUM(D54:D55)</f>
        <v>3025.2830859425912</v>
      </c>
      <c r="E56" s="709">
        <f t="shared" si="7"/>
        <v>1205.8417460990452</v>
      </c>
      <c r="F56" s="709">
        <f t="shared" si="7"/>
        <v>3.4283132659558238</v>
      </c>
      <c r="G56" s="709">
        <f t="shared" si="7"/>
        <v>416.80765198619656</v>
      </c>
      <c r="H56" s="709">
        <f t="shared" si="7"/>
        <v>0</v>
      </c>
      <c r="I56" s="709">
        <f t="shared" si="7"/>
        <v>0</v>
      </c>
      <c r="J56" s="709">
        <f t="shared" si="7"/>
        <v>0</v>
      </c>
      <c r="K56" s="709">
        <f t="shared" si="7"/>
        <v>45.594697599642075</v>
      </c>
      <c r="L56" s="709">
        <f t="shared" si="7"/>
        <v>0</v>
      </c>
      <c r="M56" s="709">
        <f t="shared" si="7"/>
        <v>0</v>
      </c>
      <c r="N56" s="709">
        <f t="shared" si="7"/>
        <v>0</v>
      </c>
      <c r="O56" s="709">
        <f t="shared" si="7"/>
        <v>0</v>
      </c>
      <c r="P56" s="709">
        <f t="shared" si="7"/>
        <v>0</v>
      </c>
      <c r="Q56" s="710">
        <f t="shared" si="7"/>
        <v>0</v>
      </c>
      <c r="R56" s="711">
        <f ca="1">SUM(R54:R55)</f>
        <v>5171.438828922709</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6574.2392278900916</v>
      </c>
      <c r="D61" s="717">
        <f t="shared" ref="D61:Q61" ca="1" si="8">D46+D52+D56</f>
        <v>3025.2830859425912</v>
      </c>
      <c r="E61" s="717">
        <f t="shared" ca="1" si="8"/>
        <v>9348.9007058262523</v>
      </c>
      <c r="F61" s="717">
        <f t="shared" si="8"/>
        <v>610.98986688879108</v>
      </c>
      <c r="G61" s="717">
        <f t="shared" ca="1" si="8"/>
        <v>19875.029504427446</v>
      </c>
      <c r="H61" s="717">
        <f t="shared" si="8"/>
        <v>17685.58130598858</v>
      </c>
      <c r="I61" s="717">
        <f t="shared" si="8"/>
        <v>3117.3067140884145</v>
      </c>
      <c r="J61" s="717">
        <f t="shared" si="8"/>
        <v>0</v>
      </c>
      <c r="K61" s="717">
        <f t="shared" si="8"/>
        <v>612.00719610562214</v>
      </c>
      <c r="L61" s="717">
        <f t="shared" si="8"/>
        <v>0</v>
      </c>
      <c r="M61" s="717">
        <f t="shared" ca="1" si="8"/>
        <v>0</v>
      </c>
      <c r="N61" s="717">
        <f t="shared" si="8"/>
        <v>0</v>
      </c>
      <c r="O61" s="717">
        <f t="shared" ca="1" si="8"/>
        <v>0</v>
      </c>
      <c r="P61" s="717">
        <f t="shared" si="8"/>
        <v>0</v>
      </c>
      <c r="Q61" s="717">
        <f t="shared" si="8"/>
        <v>0</v>
      </c>
      <c r="R61" s="717">
        <f ca="1">R46+R52+R56</f>
        <v>60849.337607157795</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0.14132529637769212</v>
      </c>
      <c r="D63" s="761">
        <f t="shared" ca="1" si="9"/>
        <v>9.2646833575474999E-2</v>
      </c>
      <c r="E63" s="977">
        <f t="shared" ca="1" si="9"/>
        <v>0.20200000000000001</v>
      </c>
      <c r="F63" s="761">
        <f t="shared" si="9"/>
        <v>0.22700000000000001</v>
      </c>
      <c r="G63" s="761">
        <f t="shared" ca="1" si="9"/>
        <v>0.26699999999999996</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2584.5808656990648</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15443.377082136703</v>
      </c>
      <c r="C76" s="727">
        <f>'lokale energieproductie'!B8*IFERROR(SUM(D76:H76)/SUM(D76:O76),0)</f>
        <v>8982.6229178632984</v>
      </c>
      <c r="D76" s="987">
        <f>'lokale energieproductie'!C8</f>
        <v>8593.9818224820083</v>
      </c>
      <c r="E76" s="988">
        <f>'lokale energieproductie'!D8</f>
        <v>0</v>
      </c>
      <c r="F76" s="988">
        <f>'lokale energieproductie'!E8</f>
        <v>1973.8098455924587</v>
      </c>
      <c r="G76" s="988">
        <f>'lokale energieproductie'!F8</f>
        <v>0</v>
      </c>
      <c r="H76" s="988">
        <f>'lokale energieproductie'!G8</f>
        <v>0</v>
      </c>
      <c r="I76" s="988">
        <f>'lokale energieproductie'!I8</f>
        <v>5921.4295367773757</v>
      </c>
      <c r="J76" s="988">
        <f>'lokale energieproductie'!J8</f>
        <v>12247.249383383451</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2262.9915569145523</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18027.95794783577</v>
      </c>
      <c r="C78" s="732">
        <f>SUM(C72:C77)</f>
        <v>8982.6229178632984</v>
      </c>
      <c r="D78" s="733">
        <f t="shared" ref="D78:H78" si="10">SUM(D76:D77)</f>
        <v>8593.9818224820083</v>
      </c>
      <c r="E78" s="733">
        <f t="shared" si="10"/>
        <v>0</v>
      </c>
      <c r="F78" s="733">
        <f t="shared" si="10"/>
        <v>1973.8098455924587</v>
      </c>
      <c r="G78" s="733">
        <f t="shared" si="10"/>
        <v>0</v>
      </c>
      <c r="H78" s="733">
        <f t="shared" si="10"/>
        <v>0</v>
      </c>
      <c r="I78" s="733">
        <f>SUM(I76:I77)</f>
        <v>5921.4295367773757</v>
      </c>
      <c r="J78" s="733">
        <f>SUM(J76:J77)</f>
        <v>12247.249383383451</v>
      </c>
      <c r="K78" s="733">
        <f t="shared" ref="K78:L78" si="11">SUM(K76:K77)</f>
        <v>0</v>
      </c>
      <c r="L78" s="733">
        <f t="shared" si="11"/>
        <v>0</v>
      </c>
      <c r="M78" s="733">
        <f>SUM(M76:M77)</f>
        <v>0</v>
      </c>
      <c r="N78" s="733">
        <f>SUM(N76:N77)</f>
        <v>0</v>
      </c>
      <c r="O78" s="842">
        <f>SUM(O76:O77)</f>
        <v>0</v>
      </c>
      <c r="P78" s="734">
        <v>0</v>
      </c>
      <c r="Q78" s="734">
        <f>SUM(Q76:Q77)</f>
        <v>2262.9915569145523</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20645.497917863297</v>
      </c>
      <c r="C87" s="743">
        <f>'lokale energieproductie'!B17*IFERROR(SUM(D87:H87)/SUM(D87:O87),0)</f>
        <v>12008.430653565276</v>
      </c>
      <c r="D87" s="754">
        <f>'lokale energieproductie'!C17</f>
        <v>11488.875320375137</v>
      </c>
      <c r="E87" s="754">
        <f>'lokale energieproductie'!D17</f>
        <v>0</v>
      </c>
      <c r="F87" s="754">
        <f>'lokale energieproductie'!E17</f>
        <v>2638.6901544075413</v>
      </c>
      <c r="G87" s="754">
        <f>'lokale energieproductie'!F17</f>
        <v>0</v>
      </c>
      <c r="H87" s="754">
        <f>'lokale energieproductie'!G17</f>
        <v>0</v>
      </c>
      <c r="I87" s="754">
        <f>'lokale energieproductie'!I17</f>
        <v>7916.0704632226243</v>
      </c>
      <c r="J87" s="754">
        <f>'lokale energieproductie'!J17</f>
        <v>16372.750616616549</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3025.2830859425912</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20645.497917863297</v>
      </c>
      <c r="C90" s="732">
        <f>SUM(C87:C89)</f>
        <v>12008.430653565276</v>
      </c>
      <c r="D90" s="732">
        <f t="shared" ref="D90:H90" si="12">SUM(D87:D89)</f>
        <v>11488.875320375137</v>
      </c>
      <c r="E90" s="732">
        <f t="shared" si="12"/>
        <v>0</v>
      </c>
      <c r="F90" s="732">
        <f t="shared" si="12"/>
        <v>2638.6901544075413</v>
      </c>
      <c r="G90" s="732">
        <f t="shared" si="12"/>
        <v>0</v>
      </c>
      <c r="H90" s="732">
        <f t="shared" si="12"/>
        <v>0</v>
      </c>
      <c r="I90" s="732">
        <f>SUM(I87:I89)</f>
        <v>7916.0704632226243</v>
      </c>
      <c r="J90" s="732">
        <f>SUM(J87:J89)</f>
        <v>16372.750616616549</v>
      </c>
      <c r="K90" s="732">
        <f t="shared" ref="K90:L90" si="13">SUM(K87:K89)</f>
        <v>0</v>
      </c>
      <c r="L90" s="732">
        <f t="shared" si="13"/>
        <v>0</v>
      </c>
      <c r="M90" s="732">
        <f>SUM(M87:M89)</f>
        <v>0</v>
      </c>
      <c r="N90" s="732">
        <f>SUM(N87:N89)</f>
        <v>0</v>
      </c>
      <c r="O90" s="732">
        <f>SUM(O87:O89)</f>
        <v>0</v>
      </c>
      <c r="P90" s="732">
        <v>0</v>
      </c>
      <c r="Q90" s="732">
        <f>SUM(Q87:Q89)</f>
        <v>3025.2830859425912</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27331.318651030106</v>
      </c>
      <c r="C4" s="449">
        <f>huishoudens!C8</f>
        <v>0</v>
      </c>
      <c r="D4" s="449">
        <f>huishoudens!D8</f>
        <v>25334.887974566358</v>
      </c>
      <c r="E4" s="449">
        <f>huishoudens!E8</f>
        <v>2042.0878744528111</v>
      </c>
      <c r="F4" s="449">
        <f>huishoudens!F8</f>
        <v>69705.43544124761</v>
      </c>
      <c r="G4" s="449">
        <f>huishoudens!G8</f>
        <v>0</v>
      </c>
      <c r="H4" s="449">
        <f>huishoudens!H8</f>
        <v>0</v>
      </c>
      <c r="I4" s="449">
        <f>huishoudens!I8</f>
        <v>0</v>
      </c>
      <c r="J4" s="449">
        <f>huishoudens!J8</f>
        <v>1569.5896828398377</v>
      </c>
      <c r="K4" s="449">
        <f>huishoudens!K8</f>
        <v>0</v>
      </c>
      <c r="L4" s="449">
        <f>huishoudens!L8</f>
        <v>0</v>
      </c>
      <c r="M4" s="449">
        <f>huishoudens!M8</f>
        <v>0</v>
      </c>
      <c r="N4" s="449">
        <f>huishoudens!N8</f>
        <v>7728.394817939914</v>
      </c>
      <c r="O4" s="449">
        <f>huishoudens!O8</f>
        <v>84.42</v>
      </c>
      <c r="P4" s="450">
        <f>huishoudens!P8</f>
        <v>476.66666666666663</v>
      </c>
      <c r="Q4" s="451">
        <f>SUM(B4:P4)</f>
        <v>134272.8011087433</v>
      </c>
    </row>
    <row r="5" spans="1:17">
      <c r="A5" s="448" t="s">
        <v>155</v>
      </c>
      <c r="B5" s="449">
        <f ca="1">tertiair!B16</f>
        <v>9346.9786562945992</v>
      </c>
      <c r="C5" s="449">
        <f ca="1">tertiair!C16</f>
        <v>0</v>
      </c>
      <c r="D5" s="449">
        <f ca="1">tertiair!D16</f>
        <v>8104.2393824176179</v>
      </c>
      <c r="E5" s="449">
        <f>tertiair!E16</f>
        <v>188.37306212305901</v>
      </c>
      <c r="F5" s="449">
        <f ca="1">tertiair!F16</f>
        <v>1682.7812030694877</v>
      </c>
      <c r="G5" s="449">
        <f>tertiair!G16</f>
        <v>0</v>
      </c>
      <c r="H5" s="449">
        <f>tertiair!H16</f>
        <v>0</v>
      </c>
      <c r="I5" s="449">
        <f>tertiair!I16</f>
        <v>0</v>
      </c>
      <c r="J5" s="449">
        <f>tertiair!J16</f>
        <v>0</v>
      </c>
      <c r="K5" s="449">
        <f>tertiair!K16</f>
        <v>0</v>
      </c>
      <c r="L5" s="449">
        <f ca="1">tertiair!L16</f>
        <v>0</v>
      </c>
      <c r="M5" s="449">
        <f>tertiair!M16</f>
        <v>0</v>
      </c>
      <c r="N5" s="449">
        <f ca="1">tertiair!N16</f>
        <v>298.99368918462449</v>
      </c>
      <c r="O5" s="449">
        <f>tertiair!O16</f>
        <v>0</v>
      </c>
      <c r="P5" s="450">
        <f>tertiair!P16</f>
        <v>19.066666666666666</v>
      </c>
      <c r="Q5" s="448">
        <f t="shared" ref="Q5:Q14" ca="1" si="0">SUM(B5:P5)</f>
        <v>19640.432659756054</v>
      </c>
    </row>
    <row r="6" spans="1:17">
      <c r="A6" s="448" t="s">
        <v>193</v>
      </c>
      <c r="B6" s="449">
        <f>'openbare verlichting'!B8</f>
        <v>1099.9570000000001</v>
      </c>
      <c r="C6" s="449"/>
      <c r="D6" s="449"/>
      <c r="E6" s="449"/>
      <c r="F6" s="449"/>
      <c r="G6" s="449"/>
      <c r="H6" s="449"/>
      <c r="I6" s="449"/>
      <c r="J6" s="449"/>
      <c r="K6" s="449"/>
      <c r="L6" s="449"/>
      <c r="M6" s="449"/>
      <c r="N6" s="449"/>
      <c r="O6" s="449"/>
      <c r="P6" s="450"/>
      <c r="Q6" s="448">
        <f t="shared" si="0"/>
        <v>1099.9570000000001</v>
      </c>
    </row>
    <row r="7" spans="1:17">
      <c r="A7" s="448" t="s">
        <v>111</v>
      </c>
      <c r="B7" s="449">
        <f>landbouw!B8</f>
        <v>1442.1685824459719</v>
      </c>
      <c r="C7" s="449">
        <f>landbouw!C8</f>
        <v>32653.928571428572</v>
      </c>
      <c r="D7" s="449">
        <f>landbouw!D8</f>
        <v>4548.6609477550082</v>
      </c>
      <c r="E7" s="449">
        <f>landbouw!E8</f>
        <v>15.102701612140192</v>
      </c>
      <c r="F7" s="449">
        <f>landbouw!F8</f>
        <v>1561.0773482629083</v>
      </c>
      <c r="G7" s="449">
        <f>landbouw!G8</f>
        <v>0</v>
      </c>
      <c r="H7" s="449">
        <f>landbouw!H8</f>
        <v>0</v>
      </c>
      <c r="I7" s="449">
        <f>landbouw!I8</f>
        <v>0</v>
      </c>
      <c r="J7" s="449">
        <f>landbouw!J8</f>
        <v>128.79858078994937</v>
      </c>
      <c r="K7" s="449">
        <f>landbouw!K8</f>
        <v>0</v>
      </c>
      <c r="L7" s="449">
        <f>landbouw!L8</f>
        <v>0</v>
      </c>
      <c r="M7" s="449">
        <f>landbouw!M8</f>
        <v>0</v>
      </c>
      <c r="N7" s="449">
        <f>landbouw!N8</f>
        <v>0</v>
      </c>
      <c r="O7" s="449">
        <f>landbouw!O8</f>
        <v>0</v>
      </c>
      <c r="P7" s="450">
        <f>landbouw!P8</f>
        <v>0</v>
      </c>
      <c r="Q7" s="448">
        <f t="shared" si="0"/>
        <v>40349.736732294543</v>
      </c>
    </row>
    <row r="8" spans="1:17">
      <c r="A8" s="448" t="s">
        <v>643</v>
      </c>
      <c r="B8" s="449">
        <f>industrie!B18</f>
        <v>5375.6853757122744</v>
      </c>
      <c r="C8" s="449">
        <f>industrie!C18</f>
        <v>0</v>
      </c>
      <c r="D8" s="449">
        <f>industrie!D18</f>
        <v>6869.2632613632331</v>
      </c>
      <c r="E8" s="449">
        <f>industrie!E18</f>
        <v>54.328679439495431</v>
      </c>
      <c r="F8" s="449">
        <f>industrie!F18</f>
        <v>1489.0187580845816</v>
      </c>
      <c r="G8" s="449">
        <f>industrie!G18</f>
        <v>0</v>
      </c>
      <c r="H8" s="449">
        <f>industrie!H18</f>
        <v>0</v>
      </c>
      <c r="I8" s="449">
        <f>industrie!I18</f>
        <v>0</v>
      </c>
      <c r="J8" s="449">
        <f>industrie!J18</f>
        <v>30.445623674230205</v>
      </c>
      <c r="K8" s="449">
        <f>industrie!K18</f>
        <v>0</v>
      </c>
      <c r="L8" s="449">
        <f>industrie!L18</f>
        <v>0</v>
      </c>
      <c r="M8" s="449">
        <f>industrie!M18</f>
        <v>0</v>
      </c>
      <c r="N8" s="449">
        <f>industrie!N18</f>
        <v>136.65704035826775</v>
      </c>
      <c r="O8" s="449">
        <f>industrie!O18</f>
        <v>0</v>
      </c>
      <c r="P8" s="450">
        <f>industrie!P18</f>
        <v>0</v>
      </c>
      <c r="Q8" s="448">
        <f t="shared" si="0"/>
        <v>13955.398738632082</v>
      </c>
    </row>
    <row r="9" spans="1:17" s="454" customFormat="1">
      <c r="A9" s="452" t="s">
        <v>562</v>
      </c>
      <c r="B9" s="453">
        <f>transport!B14</f>
        <v>1.168806542330294</v>
      </c>
      <c r="C9" s="453">
        <f>transport!C14</f>
        <v>0</v>
      </c>
      <c r="D9" s="453">
        <f>transport!D14</f>
        <v>3.7824496092588324</v>
      </c>
      <c r="E9" s="453">
        <f>transport!E14</f>
        <v>391.6929990632039</v>
      </c>
      <c r="F9" s="453">
        <f>transport!F14</f>
        <v>0</v>
      </c>
      <c r="G9" s="453">
        <f>transport!G14</f>
        <v>64937.345061156731</v>
      </c>
      <c r="H9" s="453">
        <f>transport!H14</f>
        <v>12519.304072644236</v>
      </c>
      <c r="I9" s="453">
        <f>transport!I14</f>
        <v>0</v>
      </c>
      <c r="J9" s="453">
        <f>transport!J14</f>
        <v>0</v>
      </c>
      <c r="K9" s="453">
        <f>transport!K14</f>
        <v>0</v>
      </c>
      <c r="L9" s="453">
        <f>transport!L14</f>
        <v>0</v>
      </c>
      <c r="M9" s="453">
        <f>transport!M14</f>
        <v>3373.6491878343104</v>
      </c>
      <c r="N9" s="453">
        <f>transport!N14</f>
        <v>0</v>
      </c>
      <c r="O9" s="453">
        <f>transport!O14</f>
        <v>0</v>
      </c>
      <c r="P9" s="453">
        <f>transport!P14</f>
        <v>0</v>
      </c>
      <c r="Q9" s="452">
        <f>SUM(B9:P9)</f>
        <v>81226.942576850066</v>
      </c>
    </row>
    <row r="10" spans="1:17">
      <c r="A10" s="448" t="s">
        <v>552</v>
      </c>
      <c r="B10" s="449">
        <f>transport!B54</f>
        <v>5.9960699271858795</v>
      </c>
      <c r="C10" s="449">
        <f>transport!C54</f>
        <v>0</v>
      </c>
      <c r="D10" s="449">
        <f>transport!D54</f>
        <v>0</v>
      </c>
      <c r="E10" s="449">
        <f>transport!E54</f>
        <v>0</v>
      </c>
      <c r="F10" s="449">
        <f>transport!F54</f>
        <v>0</v>
      </c>
      <c r="G10" s="449">
        <f>transport!G54</f>
        <v>1300.7871710102254</v>
      </c>
      <c r="H10" s="449">
        <f>transport!H54</f>
        <v>0</v>
      </c>
      <c r="I10" s="449">
        <f>transport!I54</f>
        <v>0</v>
      </c>
      <c r="J10" s="449">
        <f>transport!J54</f>
        <v>0</v>
      </c>
      <c r="K10" s="449">
        <f>transport!K54</f>
        <v>0</v>
      </c>
      <c r="L10" s="449">
        <f>transport!L54</f>
        <v>0</v>
      </c>
      <c r="M10" s="449">
        <f>transport!M54</f>
        <v>55.694710015201927</v>
      </c>
      <c r="N10" s="449">
        <f>transport!N54</f>
        <v>0</v>
      </c>
      <c r="O10" s="449">
        <f>transport!O54</f>
        <v>0</v>
      </c>
      <c r="P10" s="450">
        <f>transport!P54</f>
        <v>0</v>
      </c>
      <c r="Q10" s="448">
        <f t="shared" si="0"/>
        <v>1362.4779509526131</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1915.2157372105798</v>
      </c>
      <c r="C14" s="456"/>
      <c r="D14" s="456">
        <f>'SEAP template'!E25</f>
        <v>1420.8526467947202</v>
      </c>
      <c r="E14" s="456"/>
      <c r="F14" s="456"/>
      <c r="G14" s="456"/>
      <c r="H14" s="456"/>
      <c r="I14" s="456"/>
      <c r="J14" s="456"/>
      <c r="K14" s="456"/>
      <c r="L14" s="456"/>
      <c r="M14" s="456"/>
      <c r="N14" s="456"/>
      <c r="O14" s="456"/>
      <c r="P14" s="457"/>
      <c r="Q14" s="448">
        <f t="shared" si="0"/>
        <v>3336.0683840052998</v>
      </c>
    </row>
    <row r="15" spans="1:17" s="461" customFormat="1">
      <c r="A15" s="458" t="s">
        <v>556</v>
      </c>
      <c r="B15" s="459">
        <f ca="1">SUM(B4:B14)</f>
        <v>46518.488879163044</v>
      </c>
      <c r="C15" s="459">
        <f t="shared" ref="C15:Q15" ca="1" si="1">SUM(C4:C14)</f>
        <v>32653.928571428572</v>
      </c>
      <c r="D15" s="459">
        <f t="shared" ca="1" si="1"/>
        <v>46281.686662506196</v>
      </c>
      <c r="E15" s="459">
        <f t="shared" si="1"/>
        <v>2691.5853166907095</v>
      </c>
      <c r="F15" s="459">
        <f t="shared" ca="1" si="1"/>
        <v>74438.312750664583</v>
      </c>
      <c r="G15" s="459">
        <f t="shared" si="1"/>
        <v>66238.132232166958</v>
      </c>
      <c r="H15" s="459">
        <f t="shared" si="1"/>
        <v>12519.304072644236</v>
      </c>
      <c r="I15" s="459">
        <f t="shared" si="1"/>
        <v>0</v>
      </c>
      <c r="J15" s="459">
        <f t="shared" si="1"/>
        <v>1728.8338873040175</v>
      </c>
      <c r="K15" s="459">
        <f t="shared" si="1"/>
        <v>0</v>
      </c>
      <c r="L15" s="459">
        <f t="shared" ca="1" si="1"/>
        <v>0</v>
      </c>
      <c r="M15" s="459">
        <f t="shared" si="1"/>
        <v>3429.3438978495124</v>
      </c>
      <c r="N15" s="459">
        <f t="shared" ca="1" si="1"/>
        <v>8164.0455474828068</v>
      </c>
      <c r="O15" s="459">
        <f t="shared" si="1"/>
        <v>84.42</v>
      </c>
      <c r="P15" s="459">
        <f t="shared" si="1"/>
        <v>495.73333333333329</v>
      </c>
      <c r="Q15" s="459">
        <f t="shared" ca="1" si="1"/>
        <v>295243.81515123392</v>
      </c>
    </row>
    <row r="17" spans="1:17">
      <c r="A17" s="462" t="s">
        <v>557</v>
      </c>
      <c r="B17" s="766">
        <f ca="1">huishoudens!B10</f>
        <v>0.14132529637769209</v>
      </c>
      <c r="C17" s="766">
        <f ca="1">huishoudens!C10</f>
        <v>9.2646833575474999E-2</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3862.6067087499732</v>
      </c>
      <c r="C22" s="449">
        <f t="shared" ref="C22:C32" ca="1" si="3">C4*$C$17</f>
        <v>0</v>
      </c>
      <c r="D22" s="449">
        <f t="shared" ref="D22:D32" si="4">D4*$D$17</f>
        <v>5117.6473708624044</v>
      </c>
      <c r="E22" s="449">
        <f t="shared" ref="E22:E32" si="5">E4*$E$17</f>
        <v>463.55394750078813</v>
      </c>
      <c r="F22" s="449">
        <f t="shared" ref="F22:F32" si="6">F4*$F$17</f>
        <v>18611.351262813114</v>
      </c>
      <c r="G22" s="449">
        <f t="shared" ref="G22:G32" si="7">G4*$G$17</f>
        <v>0</v>
      </c>
      <c r="H22" s="449">
        <f t="shared" ref="H22:H32" si="8">H4*$H$17</f>
        <v>0</v>
      </c>
      <c r="I22" s="449">
        <f t="shared" ref="I22:I32" si="9">I4*$I$17</f>
        <v>0</v>
      </c>
      <c r="J22" s="449">
        <f t="shared" ref="J22:J32" si="10">J4*$J$17</f>
        <v>555.63474772530253</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28610.794037651583</v>
      </c>
    </row>
    <row r="23" spans="1:17">
      <c r="A23" s="448" t="s">
        <v>155</v>
      </c>
      <c r="B23" s="449">
        <f t="shared" ca="1" si="2"/>
        <v>1320.9645288367965</v>
      </c>
      <c r="C23" s="449">
        <f t="shared" ca="1" si="3"/>
        <v>0</v>
      </c>
      <c r="D23" s="449">
        <f t="shared" ca="1" si="4"/>
        <v>1637.0563552483588</v>
      </c>
      <c r="E23" s="449">
        <f t="shared" si="5"/>
        <v>42.760685101934399</v>
      </c>
      <c r="F23" s="449">
        <f t="shared" ca="1" si="6"/>
        <v>449.30258121955325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3450.0841504066434</v>
      </c>
    </row>
    <row r="24" spans="1:17">
      <c r="A24" s="448" t="s">
        <v>193</v>
      </c>
      <c r="B24" s="449">
        <f t="shared" ca="1" si="2"/>
        <v>155.45174902771709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155.45174902771709</v>
      </c>
    </row>
    <row r="25" spans="1:17">
      <c r="A25" s="448" t="s">
        <v>111</v>
      </c>
      <c r="B25" s="449">
        <f t="shared" ca="1" si="2"/>
        <v>203.81490234077305</v>
      </c>
      <c r="C25" s="449">
        <f t="shared" ca="1" si="3"/>
        <v>3025.2830859425912</v>
      </c>
      <c r="D25" s="449">
        <f t="shared" si="4"/>
        <v>918.82951144651167</v>
      </c>
      <c r="E25" s="449">
        <f t="shared" si="5"/>
        <v>3.4283132659558238</v>
      </c>
      <c r="F25" s="449">
        <f t="shared" si="6"/>
        <v>416.80765198619656</v>
      </c>
      <c r="G25" s="449">
        <f t="shared" si="7"/>
        <v>0</v>
      </c>
      <c r="H25" s="449">
        <f t="shared" si="8"/>
        <v>0</v>
      </c>
      <c r="I25" s="449">
        <f t="shared" si="9"/>
        <v>0</v>
      </c>
      <c r="J25" s="449">
        <f t="shared" si="10"/>
        <v>45.594697599642075</v>
      </c>
      <c r="K25" s="449">
        <f t="shared" si="11"/>
        <v>0</v>
      </c>
      <c r="L25" s="449">
        <f t="shared" si="12"/>
        <v>0</v>
      </c>
      <c r="M25" s="449">
        <f t="shared" si="13"/>
        <v>0</v>
      </c>
      <c r="N25" s="449">
        <f t="shared" si="14"/>
        <v>0</v>
      </c>
      <c r="O25" s="449">
        <f t="shared" si="15"/>
        <v>0</v>
      </c>
      <c r="P25" s="450">
        <f t="shared" si="16"/>
        <v>0</v>
      </c>
      <c r="Q25" s="448">
        <f t="shared" ca="1" si="17"/>
        <v>4613.7581625816701</v>
      </c>
    </row>
    <row r="26" spans="1:17">
      <c r="A26" s="448" t="s">
        <v>643</v>
      </c>
      <c r="B26" s="449">
        <f t="shared" ca="1" si="2"/>
        <v>759.72032895576228</v>
      </c>
      <c r="C26" s="449">
        <f t="shared" ca="1" si="3"/>
        <v>0</v>
      </c>
      <c r="D26" s="449">
        <f t="shared" si="4"/>
        <v>1387.5911787953733</v>
      </c>
      <c r="E26" s="449">
        <f t="shared" si="5"/>
        <v>12.332610232765463</v>
      </c>
      <c r="F26" s="449">
        <f t="shared" si="6"/>
        <v>397.5680084085833</v>
      </c>
      <c r="G26" s="449">
        <f t="shared" si="7"/>
        <v>0</v>
      </c>
      <c r="H26" s="449">
        <f t="shared" si="8"/>
        <v>0</v>
      </c>
      <c r="I26" s="449">
        <f t="shared" si="9"/>
        <v>0</v>
      </c>
      <c r="J26" s="449">
        <f t="shared" si="10"/>
        <v>10.777750780677492</v>
      </c>
      <c r="K26" s="449">
        <f t="shared" si="11"/>
        <v>0</v>
      </c>
      <c r="L26" s="449">
        <f t="shared" si="12"/>
        <v>0</v>
      </c>
      <c r="M26" s="449">
        <f t="shared" si="13"/>
        <v>0</v>
      </c>
      <c r="N26" s="449">
        <f t="shared" si="14"/>
        <v>0</v>
      </c>
      <c r="O26" s="449">
        <f t="shared" si="15"/>
        <v>0</v>
      </c>
      <c r="P26" s="450">
        <f t="shared" si="16"/>
        <v>0</v>
      </c>
      <c r="Q26" s="448">
        <f t="shared" ca="1" si="17"/>
        <v>2567.9898771731623</v>
      </c>
    </row>
    <row r="27" spans="1:17" s="454" customFormat="1">
      <c r="A27" s="452" t="s">
        <v>562</v>
      </c>
      <c r="B27" s="760">
        <f t="shared" ca="1" si="2"/>
        <v>0.16518193100301432</v>
      </c>
      <c r="C27" s="453">
        <f t="shared" ca="1" si="3"/>
        <v>0</v>
      </c>
      <c r="D27" s="453">
        <f t="shared" si="4"/>
        <v>0.76405482107028422</v>
      </c>
      <c r="E27" s="453">
        <f t="shared" si="5"/>
        <v>88.91431078734729</v>
      </c>
      <c r="F27" s="453">
        <f t="shared" si="6"/>
        <v>0</v>
      </c>
      <c r="G27" s="453">
        <f t="shared" si="7"/>
        <v>17338.271131328849</v>
      </c>
      <c r="H27" s="453">
        <f t="shared" si="8"/>
        <v>3117.3067140884145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20545.421392956687</v>
      </c>
    </row>
    <row r="28" spans="1:17">
      <c r="A28" s="448" t="s">
        <v>552</v>
      </c>
      <c r="B28" s="449">
        <f t="shared" ca="1" si="2"/>
        <v>0.84739635956091108</v>
      </c>
      <c r="C28" s="449">
        <f t="shared" ca="1" si="3"/>
        <v>0</v>
      </c>
      <c r="D28" s="449">
        <f t="shared" si="4"/>
        <v>0</v>
      </c>
      <c r="E28" s="449">
        <f t="shared" si="5"/>
        <v>0</v>
      </c>
      <c r="F28" s="449">
        <f t="shared" si="6"/>
        <v>0</v>
      </c>
      <c r="G28" s="449">
        <f t="shared" si="7"/>
        <v>347.31017465973019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348.15757101929108</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270.66843168850522</v>
      </c>
      <c r="C32" s="449">
        <f t="shared" ca="1" si="3"/>
        <v>0</v>
      </c>
      <c r="D32" s="449">
        <f t="shared" si="4"/>
        <v>287.01223465253349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557.68066634103866</v>
      </c>
    </row>
    <row r="33" spans="1:17" s="461" customFormat="1">
      <c r="A33" s="458" t="s">
        <v>556</v>
      </c>
      <c r="B33" s="459">
        <f ca="1">SUM(B22:B32)</f>
        <v>6574.2392278900898</v>
      </c>
      <c r="C33" s="459">
        <f t="shared" ref="C33:Q33" ca="1" si="19">SUM(C22:C32)</f>
        <v>3025.2830859425912</v>
      </c>
      <c r="D33" s="459">
        <f t="shared" ca="1" si="19"/>
        <v>9348.9007058262523</v>
      </c>
      <c r="E33" s="459">
        <f t="shared" si="19"/>
        <v>610.98986688879108</v>
      </c>
      <c r="F33" s="459">
        <f t="shared" ca="1" si="19"/>
        <v>19875.029504427446</v>
      </c>
      <c r="G33" s="459">
        <f t="shared" si="19"/>
        <v>17685.58130598858</v>
      </c>
      <c r="H33" s="459">
        <f t="shared" si="19"/>
        <v>3117.3067140884145</v>
      </c>
      <c r="I33" s="459">
        <f t="shared" si="19"/>
        <v>0</v>
      </c>
      <c r="J33" s="459">
        <f t="shared" si="19"/>
        <v>612.00719610562214</v>
      </c>
      <c r="K33" s="459">
        <f t="shared" si="19"/>
        <v>0</v>
      </c>
      <c r="L33" s="459">
        <f t="shared" ca="1" si="19"/>
        <v>0</v>
      </c>
      <c r="M33" s="459">
        <f t="shared" si="19"/>
        <v>0</v>
      </c>
      <c r="N33" s="459">
        <f t="shared" ca="1" si="19"/>
        <v>0</v>
      </c>
      <c r="O33" s="459">
        <f t="shared" si="19"/>
        <v>0</v>
      </c>
      <c r="P33" s="459">
        <f t="shared" si="19"/>
        <v>0</v>
      </c>
      <c r="Q33" s="459">
        <f t="shared" ca="1" si="19"/>
        <v>60849.337607157788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2584.5808656990648</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15443.377082136703</v>
      </c>
      <c r="C8" s="1008">
        <f>'SEAP template'!C76</f>
        <v>8982.6229178632984</v>
      </c>
      <c r="D8" s="1008">
        <f>'SEAP template'!D76</f>
        <v>8593.9818224820083</v>
      </c>
      <c r="E8" s="1008">
        <f>'SEAP template'!E76</f>
        <v>0</v>
      </c>
      <c r="F8" s="1008">
        <f>'SEAP template'!F76</f>
        <v>1973.8098455924587</v>
      </c>
      <c r="G8" s="1008">
        <f>'SEAP template'!G76</f>
        <v>0</v>
      </c>
      <c r="H8" s="1008">
        <f>'SEAP template'!H76</f>
        <v>0</v>
      </c>
      <c r="I8" s="1008">
        <f>'SEAP template'!I76</f>
        <v>5921.4295367773757</v>
      </c>
      <c r="J8" s="1008">
        <f>'SEAP template'!J76</f>
        <v>12247.249383383451</v>
      </c>
      <c r="K8" s="1008">
        <f>'SEAP template'!K76</f>
        <v>0</v>
      </c>
      <c r="L8" s="1008">
        <f>'SEAP template'!L76</f>
        <v>0</v>
      </c>
      <c r="M8" s="1008">
        <f>'SEAP template'!M76</f>
        <v>0</v>
      </c>
      <c r="N8" s="1008">
        <f>'SEAP template'!N76</f>
        <v>0</v>
      </c>
      <c r="O8" s="1008">
        <f>'SEAP template'!O76</f>
        <v>0</v>
      </c>
      <c r="P8" s="1009">
        <f>'SEAP template'!Q76</f>
        <v>2262.9915569145523</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18027.95794783577</v>
      </c>
      <c r="C10" s="1012">
        <f>SUM(C4:C9)</f>
        <v>8982.6229178632984</v>
      </c>
      <c r="D10" s="1012">
        <f t="shared" ref="D10:H10" si="0">SUM(D8:D9)</f>
        <v>8593.9818224820083</v>
      </c>
      <c r="E10" s="1012">
        <f t="shared" si="0"/>
        <v>0</v>
      </c>
      <c r="F10" s="1012">
        <f t="shared" si="0"/>
        <v>1973.8098455924587</v>
      </c>
      <c r="G10" s="1012">
        <f t="shared" si="0"/>
        <v>0</v>
      </c>
      <c r="H10" s="1012">
        <f t="shared" si="0"/>
        <v>0</v>
      </c>
      <c r="I10" s="1012">
        <f>SUM(I8:I9)</f>
        <v>5921.4295367773757</v>
      </c>
      <c r="J10" s="1012">
        <f>SUM(J8:J9)</f>
        <v>12247.249383383451</v>
      </c>
      <c r="K10" s="1012">
        <f t="shared" ref="K10:L10" si="1">SUM(K8:K9)</f>
        <v>0</v>
      </c>
      <c r="L10" s="1012">
        <f t="shared" si="1"/>
        <v>0</v>
      </c>
      <c r="M10" s="1012">
        <f>SUM(M8:M9)</f>
        <v>0</v>
      </c>
      <c r="N10" s="1012">
        <f>SUM(N8:N9)</f>
        <v>0</v>
      </c>
      <c r="O10" s="1012">
        <f>SUM(O8:O9)</f>
        <v>0</v>
      </c>
      <c r="P10" s="1012">
        <f>SUM(P8:P9)</f>
        <v>2262.9915569145523</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0.14132529637769209</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20645.497917863297</v>
      </c>
      <c r="C17" s="1015">
        <f>'SEAP template'!C87</f>
        <v>12008.430653565276</v>
      </c>
      <c r="D17" s="1009">
        <f>'SEAP template'!D87</f>
        <v>11488.875320375137</v>
      </c>
      <c r="E17" s="1009">
        <f>'SEAP template'!E87</f>
        <v>0</v>
      </c>
      <c r="F17" s="1009">
        <f>'SEAP template'!F87</f>
        <v>2638.6901544075413</v>
      </c>
      <c r="G17" s="1009">
        <f>'SEAP template'!G87</f>
        <v>0</v>
      </c>
      <c r="H17" s="1009">
        <f>'SEAP template'!H87</f>
        <v>0</v>
      </c>
      <c r="I17" s="1009">
        <f>'SEAP template'!I87</f>
        <v>7916.0704632226243</v>
      </c>
      <c r="J17" s="1009">
        <f>'SEAP template'!J87</f>
        <v>16372.750616616549</v>
      </c>
      <c r="K17" s="1009">
        <f>'SEAP template'!K87</f>
        <v>0</v>
      </c>
      <c r="L17" s="1009">
        <f>'SEAP template'!L87</f>
        <v>0</v>
      </c>
      <c r="M17" s="1009">
        <f>'SEAP template'!M87</f>
        <v>0</v>
      </c>
      <c r="N17" s="1009">
        <f>'SEAP template'!N87</f>
        <v>0</v>
      </c>
      <c r="O17" s="1009">
        <f>'SEAP template'!O87</f>
        <v>0</v>
      </c>
      <c r="P17" s="1009">
        <f>'SEAP template'!Q87</f>
        <v>3025.2830859425912</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20645.497917863297</v>
      </c>
      <c r="C20" s="1012">
        <f>SUM(C17:C19)</f>
        <v>12008.430653565276</v>
      </c>
      <c r="D20" s="1012">
        <f t="shared" ref="D20:H20" si="2">SUM(D17:D19)</f>
        <v>11488.875320375137</v>
      </c>
      <c r="E20" s="1012">
        <f t="shared" si="2"/>
        <v>0</v>
      </c>
      <c r="F20" s="1012">
        <f t="shared" si="2"/>
        <v>2638.6901544075413</v>
      </c>
      <c r="G20" s="1012">
        <f t="shared" si="2"/>
        <v>0</v>
      </c>
      <c r="H20" s="1012">
        <f t="shared" si="2"/>
        <v>0</v>
      </c>
      <c r="I20" s="1012">
        <f>SUM(I17:I19)</f>
        <v>7916.0704632226243</v>
      </c>
      <c r="J20" s="1012">
        <f>SUM(J17:J19)</f>
        <v>16372.750616616549</v>
      </c>
      <c r="K20" s="1012">
        <f t="shared" ref="K20:L20" si="3">SUM(K17:K19)</f>
        <v>0</v>
      </c>
      <c r="L20" s="1012">
        <f t="shared" si="3"/>
        <v>0</v>
      </c>
      <c r="M20" s="1012">
        <f>SUM(M17:M19)</f>
        <v>0</v>
      </c>
      <c r="N20" s="1012">
        <f>SUM(N17:N19)</f>
        <v>0</v>
      </c>
      <c r="O20" s="1012">
        <f>SUM(O17:O19)</f>
        <v>0</v>
      </c>
      <c r="P20" s="1012">
        <f>SUM(P17:P19)</f>
        <v>3025.2830859425912</v>
      </c>
    </row>
    <row r="22" spans="1:16">
      <c r="A22" s="462" t="s">
        <v>916</v>
      </c>
      <c r="B22" s="766" t="s">
        <v>910</v>
      </c>
      <c r="C22" s="766">
        <f ca="1">'EF ele_warmte'!B22</f>
        <v>9.2646833575474999E-2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0.14132529637769209</v>
      </c>
      <c r="C17" s="498">
        <f ca="1">'EF ele_warmte'!B22</f>
        <v>9.2646833575474999E-2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0.14132529637769209</v>
      </c>
      <c r="C17" s="498">
        <f ca="1">'EF ele_warmte'!B22</f>
        <v>9.2646833575474999E-2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0.14132529637769209</v>
      </c>
      <c r="C29" s="499">
        <f ca="1">'EF ele_warmte'!B22</f>
        <v>9.2646833575474999E-2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5884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1578</v>
      </c>
      <c r="C14" s="326"/>
      <c r="D14" s="326"/>
      <c r="E14" s="326"/>
      <c r="F14" s="326"/>
    </row>
    <row r="15" spans="1:6">
      <c r="A15" s="1282" t="s">
        <v>183</v>
      </c>
      <c r="B15" s="1283">
        <v>2671</v>
      </c>
      <c r="C15" s="326"/>
      <c r="D15" s="326"/>
      <c r="E15" s="326"/>
      <c r="F15" s="326"/>
    </row>
    <row r="16" spans="1:6">
      <c r="A16" s="1282" t="s">
        <v>6</v>
      </c>
      <c r="B16" s="1283">
        <v>635</v>
      </c>
      <c r="C16" s="326"/>
      <c r="D16" s="326"/>
      <c r="E16" s="326"/>
      <c r="F16" s="326"/>
    </row>
    <row r="17" spans="1:6">
      <c r="A17" s="1282" t="s">
        <v>7</v>
      </c>
      <c r="B17" s="1283">
        <v>221</v>
      </c>
      <c r="C17" s="326"/>
      <c r="D17" s="326"/>
      <c r="E17" s="326"/>
      <c r="F17" s="326"/>
    </row>
    <row r="18" spans="1:6">
      <c r="A18" s="1282" t="s">
        <v>8</v>
      </c>
      <c r="B18" s="1283">
        <v>443</v>
      </c>
      <c r="C18" s="326"/>
      <c r="D18" s="326"/>
      <c r="E18" s="326"/>
      <c r="F18" s="326"/>
    </row>
    <row r="19" spans="1:6">
      <c r="A19" s="1282" t="s">
        <v>9</v>
      </c>
      <c r="B19" s="1283">
        <v>405</v>
      </c>
      <c r="C19" s="326"/>
      <c r="D19" s="326"/>
      <c r="E19" s="326"/>
      <c r="F19" s="326"/>
    </row>
    <row r="20" spans="1:6">
      <c r="A20" s="1282" t="s">
        <v>10</v>
      </c>
      <c r="B20" s="1283">
        <v>237</v>
      </c>
      <c r="C20" s="326"/>
      <c r="D20" s="326"/>
      <c r="E20" s="326"/>
      <c r="F20" s="326"/>
    </row>
    <row r="21" spans="1:6">
      <c r="A21" s="1282" t="s">
        <v>11</v>
      </c>
      <c r="B21" s="1283">
        <v>3286</v>
      </c>
      <c r="C21" s="326"/>
      <c r="D21" s="326"/>
      <c r="E21" s="326"/>
      <c r="F21" s="326"/>
    </row>
    <row r="22" spans="1:6">
      <c r="A22" s="1282" t="s">
        <v>12</v>
      </c>
      <c r="B22" s="1283">
        <v>663</v>
      </c>
      <c r="C22" s="326"/>
      <c r="D22" s="326"/>
      <c r="E22" s="326"/>
      <c r="F22" s="326"/>
    </row>
    <row r="23" spans="1:6">
      <c r="A23" s="1282" t="s">
        <v>13</v>
      </c>
      <c r="B23" s="1283">
        <v>194</v>
      </c>
      <c r="C23" s="326"/>
      <c r="D23" s="326"/>
      <c r="E23" s="326"/>
      <c r="F23" s="326"/>
    </row>
    <row r="24" spans="1:6">
      <c r="A24" s="1282" t="s">
        <v>14</v>
      </c>
      <c r="B24" s="1283">
        <v>6</v>
      </c>
      <c r="C24" s="326"/>
      <c r="D24" s="326"/>
      <c r="E24" s="326"/>
      <c r="F24" s="326"/>
    </row>
    <row r="25" spans="1:6">
      <c r="A25" s="1282" t="s">
        <v>15</v>
      </c>
      <c r="B25" s="1283">
        <v>1010</v>
      </c>
      <c r="C25" s="326"/>
      <c r="D25" s="326"/>
      <c r="E25" s="326"/>
      <c r="F25" s="326"/>
    </row>
    <row r="26" spans="1:6">
      <c r="A26" s="1282" t="s">
        <v>16</v>
      </c>
      <c r="B26" s="1283">
        <v>130</v>
      </c>
      <c r="C26" s="326"/>
      <c r="D26" s="326"/>
      <c r="E26" s="326"/>
      <c r="F26" s="326"/>
    </row>
    <row r="27" spans="1:6">
      <c r="A27" s="1282" t="s">
        <v>17</v>
      </c>
      <c r="B27" s="1283">
        <v>14</v>
      </c>
      <c r="C27" s="326"/>
      <c r="D27" s="326"/>
      <c r="E27" s="326"/>
      <c r="F27" s="326"/>
    </row>
    <row r="28" spans="1:6" s="43" customFormat="1">
      <c r="A28" s="1284" t="s">
        <v>18</v>
      </c>
      <c r="B28" s="1285">
        <v>90802</v>
      </c>
      <c r="C28" s="332"/>
      <c r="D28" s="332"/>
      <c r="E28" s="332"/>
      <c r="F28" s="332"/>
    </row>
    <row r="29" spans="1:6">
      <c r="A29" s="1284" t="s">
        <v>978</v>
      </c>
      <c r="B29" s="1285">
        <v>122</v>
      </c>
      <c r="C29" s="332"/>
      <c r="D29" s="332"/>
      <c r="E29" s="332"/>
      <c r="F29" s="332"/>
    </row>
    <row r="30" spans="1:6">
      <c r="A30" s="1277" t="s">
        <v>979</v>
      </c>
      <c r="B30" s="1286">
        <v>33</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67394.069369624296</v>
      </c>
      <c r="E38" s="1283">
        <v>0</v>
      </c>
      <c r="F38" s="1283">
        <v>0</v>
      </c>
    </row>
    <row r="39" spans="1:6">
      <c r="A39" s="1282" t="s">
        <v>29</v>
      </c>
      <c r="B39" s="1282" t="s">
        <v>30</v>
      </c>
      <c r="C39" s="1283">
        <v>1714</v>
      </c>
      <c r="D39" s="1283">
        <v>28087458.951847401</v>
      </c>
      <c r="E39" s="1283">
        <v>6205</v>
      </c>
      <c r="F39" s="1283">
        <v>25436899.240919899</v>
      </c>
    </row>
    <row r="40" spans="1:6">
      <c r="A40" s="1282" t="s">
        <v>29</v>
      </c>
      <c r="B40" s="1282" t="s">
        <v>28</v>
      </c>
      <c r="C40" s="1283">
        <v>0</v>
      </c>
      <c r="D40" s="1283">
        <v>0</v>
      </c>
      <c r="E40" s="1283">
        <v>0</v>
      </c>
      <c r="F40" s="1283">
        <v>0</v>
      </c>
    </row>
    <row r="41" spans="1:6">
      <c r="A41" s="1282" t="s">
        <v>31</v>
      </c>
      <c r="B41" s="1282" t="s">
        <v>32</v>
      </c>
      <c r="C41" s="1283">
        <v>6</v>
      </c>
      <c r="D41" s="1283">
        <v>130371.933495921</v>
      </c>
      <c r="E41" s="1283">
        <v>74</v>
      </c>
      <c r="F41" s="1283">
        <v>752411.49418485502</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6</v>
      </c>
      <c r="F44" s="1283">
        <v>41680.322303356799</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15</v>
      </c>
      <c r="D48" s="1283">
        <v>7485219.2653546697</v>
      </c>
      <c r="E48" s="1283">
        <v>31</v>
      </c>
      <c r="F48" s="1283">
        <v>4072289.62385664</v>
      </c>
    </row>
    <row r="49" spans="1:6">
      <c r="A49" s="1282" t="s">
        <v>31</v>
      </c>
      <c r="B49" s="1282" t="s">
        <v>39</v>
      </c>
      <c r="C49" s="1283">
        <v>0</v>
      </c>
      <c r="D49" s="1283">
        <v>0</v>
      </c>
      <c r="E49" s="1283">
        <v>0</v>
      </c>
      <c r="F49" s="1283">
        <v>0</v>
      </c>
    </row>
    <row r="50" spans="1:6">
      <c r="A50" s="1282" t="s">
        <v>31</v>
      </c>
      <c r="B50" s="1282" t="s">
        <v>40</v>
      </c>
      <c r="C50" s="1283">
        <v>0</v>
      </c>
      <c r="D50" s="1283">
        <v>0</v>
      </c>
      <c r="E50" s="1283">
        <v>7</v>
      </c>
      <c r="F50" s="1283">
        <v>509303.93536742299</v>
      </c>
    </row>
    <row r="51" spans="1:6">
      <c r="A51" s="1282" t="s">
        <v>41</v>
      </c>
      <c r="B51" s="1282" t="s">
        <v>42</v>
      </c>
      <c r="C51" s="1283">
        <v>0</v>
      </c>
      <c r="D51" s="1283">
        <v>0</v>
      </c>
      <c r="E51" s="1283">
        <v>46</v>
      </c>
      <c r="F51" s="1283">
        <v>1337474.2818728799</v>
      </c>
    </row>
    <row r="52" spans="1:6">
      <c r="A52" s="1282" t="s">
        <v>41</v>
      </c>
      <c r="B52" s="1282" t="s">
        <v>28</v>
      </c>
      <c r="C52" s="1283">
        <v>5</v>
      </c>
      <c r="D52" s="1283">
        <v>27307669.7235168</v>
      </c>
      <c r="E52" s="1283">
        <v>7</v>
      </c>
      <c r="F52" s="1283">
        <v>104694.300573092</v>
      </c>
    </row>
    <row r="53" spans="1:6">
      <c r="A53" s="1282" t="s">
        <v>43</v>
      </c>
      <c r="B53" s="1282" t="s">
        <v>44</v>
      </c>
      <c r="C53" s="1283">
        <v>75</v>
      </c>
      <c r="D53" s="1283">
        <v>1420852.6467947201</v>
      </c>
      <c r="E53" s="1283">
        <v>236</v>
      </c>
      <c r="F53" s="1283">
        <v>1915215.7372105799</v>
      </c>
    </row>
    <row r="54" spans="1:6">
      <c r="A54" s="1282" t="s">
        <v>45</v>
      </c>
      <c r="B54" s="1282" t="s">
        <v>46</v>
      </c>
      <c r="C54" s="1283">
        <v>0</v>
      </c>
      <c r="D54" s="1283">
        <v>0</v>
      </c>
      <c r="E54" s="1283">
        <v>1</v>
      </c>
      <c r="F54" s="1283">
        <v>1099957</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15</v>
      </c>
      <c r="D57" s="1283">
        <v>704856.58745215705</v>
      </c>
      <c r="E57" s="1283">
        <v>55</v>
      </c>
      <c r="F57" s="1283">
        <v>1022382.45793279</v>
      </c>
    </row>
    <row r="58" spans="1:6">
      <c r="A58" s="1282" t="s">
        <v>48</v>
      </c>
      <c r="B58" s="1282" t="s">
        <v>50</v>
      </c>
      <c r="C58" s="1283">
        <v>3</v>
      </c>
      <c r="D58" s="1283">
        <v>135617.47723205999</v>
      </c>
      <c r="E58" s="1283">
        <v>12</v>
      </c>
      <c r="F58" s="1283">
        <v>147711.45128937601</v>
      </c>
    </row>
    <row r="59" spans="1:6">
      <c r="A59" s="1282" t="s">
        <v>48</v>
      </c>
      <c r="B59" s="1282" t="s">
        <v>51</v>
      </c>
      <c r="C59" s="1283">
        <v>13</v>
      </c>
      <c r="D59" s="1283">
        <v>802702.08569647803</v>
      </c>
      <c r="E59" s="1283">
        <v>115</v>
      </c>
      <c r="F59" s="1283">
        <v>3471490.6615993199</v>
      </c>
    </row>
    <row r="60" spans="1:6">
      <c r="A60" s="1282" t="s">
        <v>48</v>
      </c>
      <c r="B60" s="1282" t="s">
        <v>52</v>
      </c>
      <c r="C60" s="1283">
        <v>15</v>
      </c>
      <c r="D60" s="1283">
        <v>566443.78228700696</v>
      </c>
      <c r="E60" s="1283">
        <v>49</v>
      </c>
      <c r="F60" s="1283">
        <v>1063647.0463040899</v>
      </c>
    </row>
    <row r="61" spans="1:6">
      <c r="A61" s="1282" t="s">
        <v>48</v>
      </c>
      <c r="B61" s="1282" t="s">
        <v>53</v>
      </c>
      <c r="C61" s="1283">
        <v>35</v>
      </c>
      <c r="D61" s="1283">
        <v>985084.53522280999</v>
      </c>
      <c r="E61" s="1283">
        <v>170</v>
      </c>
      <c r="F61" s="1283">
        <v>2010228.4384073999</v>
      </c>
    </row>
    <row r="62" spans="1:6">
      <c r="A62" s="1282" t="s">
        <v>48</v>
      </c>
      <c r="B62" s="1282" t="s">
        <v>54</v>
      </c>
      <c r="C62" s="1283">
        <v>0</v>
      </c>
      <c r="D62" s="1283">
        <v>0</v>
      </c>
      <c r="E62" s="1283">
        <v>8</v>
      </c>
      <c r="F62" s="1283">
        <v>53368.080203385398</v>
      </c>
    </row>
    <row r="63" spans="1:6">
      <c r="A63" s="1282" t="s">
        <v>48</v>
      </c>
      <c r="B63" s="1282" t="s">
        <v>28</v>
      </c>
      <c r="C63" s="1283">
        <v>61</v>
      </c>
      <c r="D63" s="1283">
        <v>5790039.8585148295</v>
      </c>
      <c r="E63" s="1283">
        <v>90</v>
      </c>
      <c r="F63" s="1283">
        <v>1578150.5205582399</v>
      </c>
    </row>
    <row r="64" spans="1:6">
      <c r="A64" s="1282" t="s">
        <v>55</v>
      </c>
      <c r="B64" s="1282" t="s">
        <v>56</v>
      </c>
      <c r="C64" s="1283">
        <v>0</v>
      </c>
      <c r="D64" s="1283">
        <v>0</v>
      </c>
      <c r="E64" s="1283">
        <v>0</v>
      </c>
      <c r="F64" s="1283">
        <v>0</v>
      </c>
    </row>
    <row r="65" spans="1:6">
      <c r="A65" s="1282" t="s">
        <v>55</v>
      </c>
      <c r="B65" s="1282" t="s">
        <v>28</v>
      </c>
      <c r="C65" s="1283">
        <v>0</v>
      </c>
      <c r="D65" s="1283">
        <v>0</v>
      </c>
      <c r="E65" s="1283">
        <v>2</v>
      </c>
      <c r="F65" s="1283">
        <v>59219.378907332401</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5</v>
      </c>
      <c r="F68" s="1286">
        <v>47713.322240032001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100564386</v>
      </c>
      <c r="E73" s="447"/>
      <c r="F73" s="326"/>
    </row>
    <row r="74" spans="1:6">
      <c r="A74" s="1282" t="s">
        <v>63</v>
      </c>
      <c r="B74" s="1282" t="s">
        <v>760</v>
      </c>
      <c r="C74" s="1296" t="s">
        <v>761</v>
      </c>
      <c r="D74" s="1297">
        <v>5005000.576404877</v>
      </c>
      <c r="E74" s="447"/>
      <c r="F74" s="326"/>
    </row>
    <row r="75" spans="1:6">
      <c r="A75" s="1282" t="s">
        <v>64</v>
      </c>
      <c r="B75" s="1282" t="s">
        <v>758</v>
      </c>
      <c r="C75" s="1296" t="s">
        <v>762</v>
      </c>
      <c r="D75" s="1297">
        <v>7417669</v>
      </c>
      <c r="E75" s="447"/>
      <c r="F75" s="326"/>
    </row>
    <row r="76" spans="1:6">
      <c r="A76" s="1282" t="s">
        <v>64</v>
      </c>
      <c r="B76" s="1282" t="s">
        <v>760</v>
      </c>
      <c r="C76" s="1296" t="s">
        <v>763</v>
      </c>
      <c r="D76" s="1297">
        <v>6816.8</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356768.8471902468</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1894.4194101102091</v>
      </c>
      <c r="C91" s="326"/>
      <c r="D91" s="326"/>
      <c r="E91" s="326"/>
      <c r="F91" s="326"/>
    </row>
    <row r="92" spans="1:6">
      <c r="A92" s="1277" t="s">
        <v>68</v>
      </c>
      <c r="B92" s="1278">
        <v>690.16145558885592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965</v>
      </c>
      <c r="C97" s="326"/>
      <c r="D97" s="326"/>
      <c r="E97" s="326"/>
      <c r="F97" s="326"/>
    </row>
    <row r="98" spans="1:6">
      <c r="A98" s="1282" t="s">
        <v>71</v>
      </c>
      <c r="B98" s="1283">
        <v>9</v>
      </c>
      <c r="C98" s="326"/>
      <c r="D98" s="326"/>
      <c r="E98" s="326"/>
      <c r="F98" s="326"/>
    </row>
    <row r="99" spans="1:6">
      <c r="A99" s="1282" t="s">
        <v>72</v>
      </c>
      <c r="B99" s="1283">
        <v>171</v>
      </c>
      <c r="C99" s="326"/>
      <c r="D99" s="326"/>
      <c r="E99" s="326"/>
      <c r="F99" s="326"/>
    </row>
    <row r="100" spans="1:6">
      <c r="A100" s="1282" t="s">
        <v>73</v>
      </c>
      <c r="B100" s="1283">
        <v>225</v>
      </c>
      <c r="C100" s="326"/>
      <c r="D100" s="326"/>
      <c r="E100" s="326"/>
      <c r="F100" s="326"/>
    </row>
    <row r="101" spans="1:6">
      <c r="A101" s="1282" t="s">
        <v>74</v>
      </c>
      <c r="B101" s="1283">
        <v>147</v>
      </c>
      <c r="C101" s="326"/>
      <c r="D101" s="326"/>
      <c r="E101" s="326"/>
      <c r="F101" s="326"/>
    </row>
    <row r="102" spans="1:6">
      <c r="A102" s="1282" t="s">
        <v>75</v>
      </c>
      <c r="B102" s="1283">
        <v>58</v>
      </c>
      <c r="C102" s="326"/>
      <c r="D102" s="326"/>
      <c r="E102" s="326"/>
      <c r="F102" s="326"/>
    </row>
    <row r="103" spans="1:6">
      <c r="A103" s="1282" t="s">
        <v>76</v>
      </c>
      <c r="B103" s="1283">
        <v>167</v>
      </c>
      <c r="C103" s="326"/>
      <c r="D103" s="326"/>
      <c r="E103" s="326"/>
      <c r="F103" s="326"/>
    </row>
    <row r="104" spans="1:6">
      <c r="A104" s="1282" t="s">
        <v>77</v>
      </c>
      <c r="B104" s="1283">
        <v>3520</v>
      </c>
      <c r="C104" s="326"/>
      <c r="D104" s="326"/>
      <c r="E104" s="326"/>
      <c r="F104" s="326"/>
    </row>
    <row r="105" spans="1:6">
      <c r="A105" s="1277" t="s">
        <v>78</v>
      </c>
      <c r="B105" s="128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5</v>
      </c>
      <c r="C123" s="1283">
        <v>6</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48</v>
      </c>
      <c r="C129" s="326"/>
      <c r="D129" s="326"/>
      <c r="E129" s="326"/>
      <c r="F129" s="326"/>
    </row>
    <row r="130" spans="1:6">
      <c r="A130" s="1282" t="s">
        <v>290</v>
      </c>
      <c r="B130" s="1283">
        <v>0</v>
      </c>
      <c r="C130" s="326"/>
      <c r="D130" s="326"/>
      <c r="E130" s="326"/>
      <c r="F130" s="326"/>
    </row>
    <row r="131" spans="1:6">
      <c r="A131" s="1282" t="s">
        <v>291</v>
      </c>
      <c r="B131" s="1283">
        <v>1</v>
      </c>
      <c r="C131" s="326"/>
      <c r="D131" s="326"/>
      <c r="E131" s="326"/>
      <c r="F131" s="326"/>
    </row>
    <row r="132" spans="1:6">
      <c r="A132" s="1277" t="s">
        <v>292</v>
      </c>
      <c r="B132" s="1278">
        <v>20</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46518.488879163044</v>
      </c>
      <c r="C3" s="43" t="s">
        <v>169</v>
      </c>
      <c r="D3" s="43"/>
      <c r="E3" s="156"/>
      <c r="F3" s="43"/>
      <c r="G3" s="43"/>
      <c r="H3" s="43"/>
      <c r="I3" s="43"/>
      <c r="J3" s="43"/>
      <c r="K3" s="96"/>
    </row>
    <row r="4" spans="1:11">
      <c r="A4" s="354" t="s">
        <v>170</v>
      </c>
      <c r="B4" s="49">
        <f>IF(ISERROR('SEAP template'!B78+'SEAP template'!C78),0,'SEAP template'!B78+'SEAP template'!C78)</f>
        <v>27010.58086569907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2262.9915569145523</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0.14132529637769209</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3025.2830859425912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32653.928571428572</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9.2646833575474999E-2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1099.9570000000001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1099.9570000000001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0.14132529637769209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155.45174902771709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25436.899240919898</v>
      </c>
      <c r="C5" s="17">
        <f>IF(ISERROR('Eigen informatie GS &amp; warmtenet'!B57),0,'Eigen informatie GS &amp; warmtenet'!B57)</f>
        <v>0</v>
      </c>
      <c r="D5" s="30">
        <f>(SUM(HH_hh_gas_kWh,HH_rest_gas_kWh)/1000)*0.902</f>
        <v>25334.887974566358</v>
      </c>
      <c r="E5" s="17">
        <f>B32*B41</f>
        <v>2042.0878744528111</v>
      </c>
      <c r="F5" s="17">
        <f>B36*B45</f>
        <v>69705.43544124761</v>
      </c>
      <c r="G5" s="18"/>
      <c r="H5" s="17"/>
      <c r="I5" s="17"/>
      <c r="J5" s="17">
        <f>B35*B44+C35*C44</f>
        <v>1569.5896828398377</v>
      </c>
      <c r="K5" s="17"/>
      <c r="L5" s="17"/>
      <c r="M5" s="17"/>
      <c r="N5" s="17">
        <f>B34*B43+C34*C43</f>
        <v>7728.394817939914</v>
      </c>
      <c r="O5" s="17">
        <f>B52*B53*B54</f>
        <v>84.42</v>
      </c>
      <c r="P5" s="17">
        <f>B60*B61*B62/1000-B60*B61*B62/1000/B63</f>
        <v>476.66666666666663</v>
      </c>
    </row>
    <row r="6" spans="1:16">
      <c r="A6" s="16" t="s">
        <v>621</v>
      </c>
      <c r="B6" s="768">
        <f>kWh_PV_kleiner_dan_10kW</f>
        <v>1894.4194101102091</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27331.318651030106</v>
      </c>
      <c r="C8" s="21">
        <f>C5</f>
        <v>0</v>
      </c>
      <c r="D8" s="21">
        <f>D5</f>
        <v>25334.887974566358</v>
      </c>
      <c r="E8" s="21">
        <f>E5</f>
        <v>2042.0878744528111</v>
      </c>
      <c r="F8" s="21">
        <f>F5</f>
        <v>69705.43544124761</v>
      </c>
      <c r="G8" s="21"/>
      <c r="H8" s="21"/>
      <c r="I8" s="21"/>
      <c r="J8" s="21">
        <f>J5</f>
        <v>1569.5896828398377</v>
      </c>
      <c r="K8" s="21"/>
      <c r="L8" s="21">
        <f>L5</f>
        <v>0</v>
      </c>
      <c r="M8" s="21">
        <f>M5</f>
        <v>0</v>
      </c>
      <c r="N8" s="21">
        <f>N5</f>
        <v>7728.394817939914</v>
      </c>
      <c r="O8" s="21">
        <f>O5</f>
        <v>84.42</v>
      </c>
      <c r="P8" s="21">
        <f>P5</f>
        <v>476.66666666666663</v>
      </c>
    </row>
    <row r="9" spans="1:16">
      <c r="B9" s="19"/>
      <c r="C9" s="19"/>
      <c r="D9" s="256"/>
      <c r="E9" s="19"/>
      <c r="F9" s="19"/>
      <c r="G9" s="19"/>
      <c r="H9" s="19"/>
      <c r="I9" s="19"/>
      <c r="J9" s="19"/>
      <c r="K9" s="19"/>
      <c r="L9" s="19"/>
      <c r="M9" s="19"/>
      <c r="N9" s="19"/>
      <c r="O9" s="19"/>
      <c r="P9" s="19"/>
    </row>
    <row r="10" spans="1:16">
      <c r="A10" s="24" t="s">
        <v>213</v>
      </c>
      <c r="B10" s="25">
        <f ca="1">'EF ele_warmte'!B12</f>
        <v>0.14132529637769209</v>
      </c>
      <c r="C10" s="25">
        <f ca="1">'EF ele_warmte'!B22</f>
        <v>9.2646833575474999E-2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3862.6067087499732</v>
      </c>
      <c r="C12" s="23">
        <f ca="1">C10*C8</f>
        <v>0</v>
      </c>
      <c r="D12" s="23">
        <f>D8*D10</f>
        <v>5117.6473708624044</v>
      </c>
      <c r="E12" s="23">
        <f>E10*E8</f>
        <v>463.55394750078813</v>
      </c>
      <c r="F12" s="23">
        <f>F10*F8</f>
        <v>18611.351262813114</v>
      </c>
      <c r="G12" s="23"/>
      <c r="H12" s="23"/>
      <c r="I12" s="23"/>
      <c r="J12" s="23">
        <f>J10*J8</f>
        <v>555.63474772530253</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5884</v>
      </c>
      <c r="C26" s="36"/>
      <c r="D26" s="226"/>
    </row>
    <row r="27" spans="1:5" s="15" customFormat="1">
      <c r="A27" s="228" t="s">
        <v>701</v>
      </c>
      <c r="B27" s="37">
        <f>SUM(HH_hh_gas_aantal,HH_rest_gas_aantal)</f>
        <v>1714</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1628.3</v>
      </c>
      <c r="C31" s="34" t="s">
        <v>110</v>
      </c>
      <c r="D31" s="172"/>
    </row>
    <row r="32" spans="1:5">
      <c r="A32" s="169" t="s">
        <v>72</v>
      </c>
      <c r="B32" s="33">
        <f>IF((B21*($B$26-($B$27-0.05*$B$27)-$B$60))&lt;0,0,B21*($B$26-($B$27-0.05*$B$27)-$B$60))</f>
        <v>29.993838093130488</v>
      </c>
      <c r="C32" s="34" t="s">
        <v>110</v>
      </c>
      <c r="D32" s="172"/>
    </row>
    <row r="33" spans="1:6">
      <c r="A33" s="169" t="s">
        <v>73</v>
      </c>
      <c r="B33" s="33">
        <f>IF((B22*($B$26-($B$27-0.05*$B$27)-$B$60))&lt;0,0,B22*($B$26-($B$27-0.05*$B$27)-$B$60))</f>
        <v>859.61931895482155</v>
      </c>
      <c r="C33" s="34" t="s">
        <v>110</v>
      </c>
      <c r="D33" s="172"/>
    </row>
    <row r="34" spans="1:6">
      <c r="A34" s="169" t="s">
        <v>74</v>
      </c>
      <c r="B34" s="33">
        <f>IF((B24*($B$26-($B$27-0.05*$B$27)-$B$60))&lt;0,0,B24*($B$26-($B$27-0.05*$B$27)-$B$60))</f>
        <v>171.41717693086215</v>
      </c>
      <c r="C34" s="33">
        <f>B26*C24</f>
        <v>1203.1462850713156</v>
      </c>
      <c r="D34" s="231"/>
    </row>
    <row r="35" spans="1:6">
      <c r="A35" s="169" t="s">
        <v>76</v>
      </c>
      <c r="B35" s="33">
        <f>IF((B19*($B$26-($B$27-0.05*$B$27)-$B$60))&lt;0,0,B19*($B$26-($B$27-0.05*$B$27)-$B$60))</f>
        <v>89.267375277174082</v>
      </c>
      <c r="C35" s="33">
        <f>B35/2</f>
        <v>44.633687638587041</v>
      </c>
      <c r="D35" s="231"/>
    </row>
    <row r="36" spans="1:6">
      <c r="A36" s="169" t="s">
        <v>77</v>
      </c>
      <c r="B36" s="33">
        <f>IF((B18*($B$26-($B$27-0.05*$B$27)-$B$60))&lt;0,0,B18*($B$26-($B$27-0.05*$B$27)-$B$60))</f>
        <v>3080.4022907440117</v>
      </c>
      <c r="C36" s="34" t="s">
        <v>110</v>
      </c>
      <c r="D36" s="172"/>
    </row>
    <row r="37" spans="1:6">
      <c r="A37" s="169" t="s">
        <v>78</v>
      </c>
      <c r="B37" s="33">
        <f>B60</f>
        <v>25</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54</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25</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9346.9786562945992</v>
      </c>
      <c r="C5" s="17">
        <f>IF(ISERROR('Eigen informatie GS &amp; warmtenet'!B58),0,'Eigen informatie GS &amp; warmtenet'!B58)</f>
        <v>0</v>
      </c>
      <c r="D5" s="30">
        <f>SUM(D6:D12)</f>
        <v>8104.2393824176179</v>
      </c>
      <c r="E5" s="17">
        <f>SUM(E6:E12)</f>
        <v>188.37306212305901</v>
      </c>
      <c r="F5" s="17">
        <f>SUM(F6:F12)</f>
        <v>1682.7812030694877</v>
      </c>
      <c r="G5" s="18"/>
      <c r="H5" s="17"/>
      <c r="I5" s="17"/>
      <c r="J5" s="17">
        <f>SUM(J6:J12)</f>
        <v>0</v>
      </c>
      <c r="K5" s="17"/>
      <c r="L5" s="17"/>
      <c r="M5" s="17"/>
      <c r="N5" s="17">
        <f>SUM(N6:N12)</f>
        <v>298.99368918462449</v>
      </c>
      <c r="O5" s="17">
        <f>B38*B39*B40</f>
        <v>0</v>
      </c>
      <c r="P5" s="17">
        <f>B46*B47*B48/1000-B46*B47*B48/1000/B49</f>
        <v>19.066666666666666</v>
      </c>
      <c r="R5" s="32"/>
    </row>
    <row r="6" spans="1:18">
      <c r="A6" s="32" t="s">
        <v>53</v>
      </c>
      <c r="B6" s="37">
        <f>B26</f>
        <v>2010.2284384073998</v>
      </c>
      <c r="C6" s="33"/>
      <c r="D6" s="37">
        <f>IF(ISERROR(TER_kantoor_gas_kWh/1000),0,TER_kantoor_gas_kWh/1000)*0.902</f>
        <v>888.54625077097467</v>
      </c>
      <c r="E6" s="33">
        <f>$C$26*'E Balans VL '!I12/100/3.6*1000000</f>
        <v>70.365903073614646</v>
      </c>
      <c r="F6" s="33">
        <f>$C$26*('E Balans VL '!L12+'E Balans VL '!N12)/100/3.6*1000000</f>
        <v>304.79379044421319</v>
      </c>
      <c r="G6" s="34"/>
      <c r="H6" s="33"/>
      <c r="I6" s="33"/>
      <c r="J6" s="33">
        <f>$C$26*('E Balans VL '!D12+'E Balans VL '!E12)/100/3.6*1000000</f>
        <v>0</v>
      </c>
      <c r="K6" s="33"/>
      <c r="L6" s="33"/>
      <c r="M6" s="33"/>
      <c r="N6" s="33">
        <f>$C$26*'E Balans VL '!Y12/100/3.6*1000000</f>
        <v>15.538436644703907</v>
      </c>
      <c r="O6" s="33"/>
      <c r="P6" s="33"/>
      <c r="R6" s="32"/>
    </row>
    <row r="7" spans="1:18">
      <c r="A7" s="32" t="s">
        <v>52</v>
      </c>
      <c r="B7" s="37">
        <f t="shared" ref="B7:B12" si="0">B27</f>
        <v>1063.6470463040901</v>
      </c>
      <c r="C7" s="33"/>
      <c r="D7" s="37">
        <f>IF(ISERROR(TER_horeca_gas_kWh/1000),0,TER_horeca_gas_kWh/1000)*0.902</f>
        <v>510.93229162288026</v>
      </c>
      <c r="E7" s="33">
        <f>$C$27*'E Balans VL '!I9/100/3.6*1000000</f>
        <v>60.003836472847482</v>
      </c>
      <c r="F7" s="33">
        <f>$C$27*('E Balans VL '!L9+'E Balans VL '!N9)/100/3.6*1000000</f>
        <v>185.29320176450329</v>
      </c>
      <c r="G7" s="34"/>
      <c r="H7" s="33"/>
      <c r="I7" s="33"/>
      <c r="J7" s="33">
        <f>$C$27*('E Balans VL '!D9+'E Balans VL '!E9)/100/3.6*1000000</f>
        <v>0</v>
      </c>
      <c r="K7" s="33"/>
      <c r="L7" s="33"/>
      <c r="M7" s="33"/>
      <c r="N7" s="33">
        <f>$C$27*'E Balans VL '!Y9/100/3.6*1000000</f>
        <v>0</v>
      </c>
      <c r="O7" s="33"/>
      <c r="P7" s="33"/>
      <c r="R7" s="32"/>
    </row>
    <row r="8" spans="1:18">
      <c r="A8" s="6" t="s">
        <v>51</v>
      </c>
      <c r="B8" s="37">
        <f t="shared" si="0"/>
        <v>3471.49066159932</v>
      </c>
      <c r="C8" s="33"/>
      <c r="D8" s="37">
        <f>IF(ISERROR(TER_handel_gas_kWh/1000),0,TER_handel_gas_kWh/1000)*0.902</f>
        <v>724.03728129822321</v>
      </c>
      <c r="E8" s="33">
        <f>$C$28*'E Balans VL '!I13/100/3.6*1000000</f>
        <v>17.822280358315005</v>
      </c>
      <c r="F8" s="33">
        <f>$C$28*('E Balans VL '!L13+'E Balans VL '!N13)/100/3.6*1000000</f>
        <v>535.25021998150316</v>
      </c>
      <c r="G8" s="34"/>
      <c r="H8" s="33"/>
      <c r="I8" s="33"/>
      <c r="J8" s="33">
        <f>$C$28*('E Balans VL '!D13+'E Balans VL '!E13)/100/3.6*1000000</f>
        <v>0</v>
      </c>
      <c r="K8" s="33"/>
      <c r="L8" s="33"/>
      <c r="M8" s="33"/>
      <c r="N8" s="33">
        <f>$C$28*'E Balans VL '!Y13/100/3.6*1000000</f>
        <v>1.6236585576773941</v>
      </c>
      <c r="O8" s="33"/>
      <c r="P8" s="33"/>
      <c r="R8" s="32"/>
    </row>
    <row r="9" spans="1:18">
      <c r="A9" s="32" t="s">
        <v>50</v>
      </c>
      <c r="B9" s="37">
        <f t="shared" si="0"/>
        <v>147.71145128937601</v>
      </c>
      <c r="C9" s="33"/>
      <c r="D9" s="37">
        <f>IF(ISERROR(TER_gezond_gas_kWh/1000),0,TER_gezond_gas_kWh/1000)*0.902</f>
        <v>122.32696446331812</v>
      </c>
      <c r="E9" s="33">
        <f>$C$29*'E Balans VL '!I10/100/3.6*1000000</f>
        <v>6.1225344596192395E-2</v>
      </c>
      <c r="F9" s="33">
        <f>$C$29*('E Balans VL '!L10+'E Balans VL '!N10)/100/3.6*1000000</f>
        <v>36.379211987774447</v>
      </c>
      <c r="G9" s="34"/>
      <c r="H9" s="33"/>
      <c r="I9" s="33"/>
      <c r="J9" s="33">
        <f>$C$29*('E Balans VL '!D10+'E Balans VL '!E10)/100/3.6*1000000</f>
        <v>0</v>
      </c>
      <c r="K9" s="33"/>
      <c r="L9" s="33"/>
      <c r="M9" s="33"/>
      <c r="N9" s="33">
        <f>$C$29*'E Balans VL '!Y10/100/3.6*1000000</f>
        <v>1.2765925434634886</v>
      </c>
      <c r="O9" s="33"/>
      <c r="P9" s="33"/>
      <c r="R9" s="32"/>
    </row>
    <row r="10" spans="1:18">
      <c r="A10" s="32" t="s">
        <v>49</v>
      </c>
      <c r="B10" s="37">
        <f t="shared" si="0"/>
        <v>1022.3824579327901</v>
      </c>
      <c r="C10" s="33"/>
      <c r="D10" s="37">
        <f>IF(ISERROR(TER_ander_gas_kWh/1000),0,TER_ander_gas_kWh/1000)*0.902</f>
        <v>635.78064188184567</v>
      </c>
      <c r="E10" s="33">
        <f>$C$30*'E Balans VL '!I14/100/3.6*1000000</f>
        <v>6.2324686884913518</v>
      </c>
      <c r="F10" s="33">
        <f>$C$30*('E Balans VL '!L14+'E Balans VL '!N14)/100/3.6*1000000</f>
        <v>271.04759464899439</v>
      </c>
      <c r="G10" s="34"/>
      <c r="H10" s="33"/>
      <c r="I10" s="33"/>
      <c r="J10" s="33">
        <f>$C$30*('E Balans VL '!D14+'E Balans VL '!E14)/100/3.6*1000000</f>
        <v>0</v>
      </c>
      <c r="K10" s="33"/>
      <c r="L10" s="33"/>
      <c r="M10" s="33"/>
      <c r="N10" s="33">
        <f>$C$30*'E Balans VL '!Y14/100/3.6*1000000</f>
        <v>235.63706449466088</v>
      </c>
      <c r="O10" s="33"/>
      <c r="P10" s="33"/>
      <c r="R10" s="32"/>
    </row>
    <row r="11" spans="1:18">
      <c r="A11" s="32" t="s">
        <v>54</v>
      </c>
      <c r="B11" s="37">
        <f t="shared" si="0"/>
        <v>53.368080203385396</v>
      </c>
      <c r="C11" s="33"/>
      <c r="D11" s="37">
        <f>IF(ISERROR(TER_onderwijs_gas_kWh/1000),0,TER_onderwijs_gas_kWh/1000)*0.902</f>
        <v>0</v>
      </c>
      <c r="E11" s="33">
        <f>$C$31*'E Balans VL '!I11/100/3.6*1000000</f>
        <v>4.0669256020273152E-2</v>
      </c>
      <c r="F11" s="33">
        <f>$C$31*('E Balans VL '!L11+'E Balans VL '!N11)/100/3.6*1000000</f>
        <v>38.620067527654925</v>
      </c>
      <c r="G11" s="34"/>
      <c r="H11" s="33"/>
      <c r="I11" s="33"/>
      <c r="J11" s="33">
        <f>$C$31*('E Balans VL '!D11+'E Balans VL '!E11)/100/3.6*1000000</f>
        <v>0</v>
      </c>
      <c r="K11" s="33"/>
      <c r="L11" s="33"/>
      <c r="M11" s="33"/>
      <c r="N11" s="33">
        <f>$C$31*'E Balans VL '!Y11/100/3.6*1000000</f>
        <v>0.15728848709812898</v>
      </c>
      <c r="O11" s="33"/>
      <c r="P11" s="33"/>
      <c r="R11" s="32"/>
    </row>
    <row r="12" spans="1:18">
      <c r="A12" s="32" t="s">
        <v>255</v>
      </c>
      <c r="B12" s="37">
        <f t="shared" si="0"/>
        <v>1578.1505205582398</v>
      </c>
      <c r="C12" s="33"/>
      <c r="D12" s="37">
        <f>IF(ISERROR(TER_rest_gas_kWh/1000),0,TER_rest_gas_kWh/1000)*0.902</f>
        <v>5222.6159523803763</v>
      </c>
      <c r="E12" s="33">
        <f>$C$32*'E Balans VL '!I8/100/3.6*1000000</f>
        <v>33.846678929174089</v>
      </c>
      <c r="F12" s="33">
        <f>$C$32*('E Balans VL '!L8+'E Balans VL '!N8)/100/3.6*1000000</f>
        <v>311.39711671484423</v>
      </c>
      <c r="G12" s="34"/>
      <c r="H12" s="33"/>
      <c r="I12" s="33"/>
      <c r="J12" s="33">
        <f>$C$32*('E Balans VL '!D8+'E Balans VL '!E8)/100/3.6*1000000</f>
        <v>0</v>
      </c>
      <c r="K12" s="33"/>
      <c r="L12" s="33"/>
      <c r="M12" s="33"/>
      <c r="N12" s="33">
        <f>$C$32*'E Balans VL '!Y8/100/3.6*1000000</f>
        <v>44.760648457020693</v>
      </c>
      <c r="O12" s="33"/>
      <c r="P12" s="33"/>
      <c r="R12" s="32"/>
    </row>
    <row r="13" spans="1:18">
      <c r="A13" s="16" t="s">
        <v>489</v>
      </c>
      <c r="B13" s="244">
        <f ca="1">'lokale energieproductie'!N40+'lokale energieproductie'!N33</f>
        <v>0</v>
      </c>
      <c r="C13" s="244">
        <f ca="1">'lokale energieproductie'!O40+'lokale energieproductie'!O33</f>
        <v>0</v>
      </c>
      <c r="D13" s="304">
        <f ca="1">('lokale energieproductie'!P33+'lokale energieproductie'!P40)*(-1)</f>
        <v>0</v>
      </c>
      <c r="E13" s="245"/>
      <c r="F13" s="304">
        <f ca="1">('lokale energieproductie'!S33+'lokale energieproductie'!S40)*(-1)</f>
        <v>0</v>
      </c>
      <c r="G13" s="246"/>
      <c r="H13" s="245"/>
      <c r="I13" s="245"/>
      <c r="J13" s="245"/>
      <c r="K13" s="245"/>
      <c r="L13" s="304">
        <f ca="1">('lokale energieproductie'!U33+'lokale energieproductie'!T33+'lokale energieproductie'!U40+'lokale energieproductie'!T40)*(-1)</f>
        <v>0</v>
      </c>
      <c r="M13" s="245"/>
      <c r="N13" s="304">
        <f ca="1">('lokale energieproductie'!Q33+'lokale energieproductie'!R33+'lokale energieproductie'!V33+'lokale energieproductie'!Q40+'lokale energieproductie'!R40+'lokale energieproductie'!V40)*(-1)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9346.9786562945992</v>
      </c>
      <c r="C16" s="21">
        <f ca="1">C5+C13+C14</f>
        <v>0</v>
      </c>
      <c r="D16" s="21">
        <f t="shared" ref="D16:N16" ca="1" si="1">MAX((D5+D13+D14),0)</f>
        <v>8104.2393824176179</v>
      </c>
      <c r="E16" s="21">
        <f t="shared" si="1"/>
        <v>188.37306212305901</v>
      </c>
      <c r="F16" s="21">
        <f t="shared" ca="1" si="1"/>
        <v>1682.7812030694877</v>
      </c>
      <c r="G16" s="21">
        <f t="shared" si="1"/>
        <v>0</v>
      </c>
      <c r="H16" s="21">
        <f t="shared" si="1"/>
        <v>0</v>
      </c>
      <c r="I16" s="21">
        <f t="shared" si="1"/>
        <v>0</v>
      </c>
      <c r="J16" s="21">
        <f t="shared" si="1"/>
        <v>0</v>
      </c>
      <c r="K16" s="21">
        <f t="shared" si="1"/>
        <v>0</v>
      </c>
      <c r="L16" s="21">
        <f t="shared" ca="1" si="1"/>
        <v>0</v>
      </c>
      <c r="M16" s="21">
        <f t="shared" si="1"/>
        <v>0</v>
      </c>
      <c r="N16" s="21">
        <f t="shared" ca="1" si="1"/>
        <v>298.99368918462449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0.14132529637769209</v>
      </c>
      <c r="C18" s="25">
        <f ca="1">'EF ele_warmte'!B22</f>
        <v>9.2646833575474999E-2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1320.9645288367965</v>
      </c>
      <c r="C20" s="23">
        <f t="shared" ref="C20:P20" ca="1" si="2">C16*C18</f>
        <v>0</v>
      </c>
      <c r="D20" s="23">
        <f t="shared" ca="1" si="2"/>
        <v>1637.0563552483588</v>
      </c>
      <c r="E20" s="23">
        <f t="shared" si="2"/>
        <v>42.760685101934399</v>
      </c>
      <c r="F20" s="23">
        <f t="shared" ca="1" si="2"/>
        <v>449.30258121955325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2010.2284384073998</v>
      </c>
      <c r="C26" s="39">
        <f>IF(ISERROR(B26*3.6/1000000/'E Balans VL '!Z12*100),0,B26*3.6/1000000/'E Balans VL '!Z12*100)</f>
        <v>4.2301923773355253E-2</v>
      </c>
      <c r="D26" s="234" t="s">
        <v>706</v>
      </c>
      <c r="F26" s="6"/>
    </row>
    <row r="27" spans="1:18">
      <c r="A27" s="229" t="s">
        <v>52</v>
      </c>
      <c r="B27" s="33">
        <f>IF(ISERROR(TER_horeca_ele_kWh/1000),0,TER_horeca_ele_kWh/1000)</f>
        <v>1063.6470463040901</v>
      </c>
      <c r="C27" s="39">
        <f>IF(ISERROR(B27*3.6/1000000/'E Balans VL '!Z9*100),0,B27*3.6/1000000/'E Balans VL '!Z9*100)</f>
        <v>9.0056006590045562E-2</v>
      </c>
      <c r="D27" s="234" t="s">
        <v>706</v>
      </c>
      <c r="F27" s="6"/>
    </row>
    <row r="28" spans="1:18">
      <c r="A28" s="169" t="s">
        <v>51</v>
      </c>
      <c r="B28" s="33">
        <f>IF(ISERROR(TER_handel_ele_kWh/1000),0,TER_handel_ele_kWh/1000)</f>
        <v>3471.49066159932</v>
      </c>
      <c r="C28" s="39">
        <f>IF(ISERROR(B28*3.6/1000000/'E Balans VL '!Z13*100),0,B28*3.6/1000000/'E Balans VL '!Z13*100)</f>
        <v>9.6107738931961298E-2</v>
      </c>
      <c r="D28" s="234" t="s">
        <v>706</v>
      </c>
      <c r="F28" s="6"/>
    </row>
    <row r="29" spans="1:18">
      <c r="A29" s="229" t="s">
        <v>50</v>
      </c>
      <c r="B29" s="33">
        <f>IF(ISERROR(TER_gezond_ele_kWh/1000),0,TER_gezond_ele_kWh/1000)</f>
        <v>147.71145128937601</v>
      </c>
      <c r="C29" s="39">
        <f>IF(ISERROR(B29*3.6/1000000/'E Balans VL '!Z10*100),0,B29*3.6/1000000/'E Balans VL '!Z10*100)</f>
        <v>1.9200851095257234E-2</v>
      </c>
      <c r="D29" s="234" t="s">
        <v>706</v>
      </c>
      <c r="F29" s="6"/>
    </row>
    <row r="30" spans="1:18">
      <c r="A30" s="229" t="s">
        <v>49</v>
      </c>
      <c r="B30" s="33">
        <f>IF(ISERROR(TER_ander_ele_kWh/1000),0,TER_ander_ele_kWh/1000)</f>
        <v>1022.3824579327901</v>
      </c>
      <c r="C30" s="39">
        <f>IF(ISERROR(B30*3.6/1000000/'E Balans VL '!Z14*100),0,B30*3.6/1000000/'E Balans VL '!Z14*100)</f>
        <v>7.9244016453169863E-2</v>
      </c>
      <c r="D30" s="234" t="s">
        <v>706</v>
      </c>
      <c r="F30" s="6"/>
    </row>
    <row r="31" spans="1:18">
      <c r="A31" s="229" t="s">
        <v>54</v>
      </c>
      <c r="B31" s="33">
        <f>IF(ISERROR(TER_onderwijs_ele_kWh/1000),0,TER_onderwijs_ele_kWh/1000)</f>
        <v>53.368080203385396</v>
      </c>
      <c r="C31" s="39">
        <f>IF(ISERROR(B31*3.6/1000000/'E Balans VL '!Z11*100),0,B31*3.6/1000000/'E Balans VL '!Z11*100)</f>
        <v>1.0210223115750015E-2</v>
      </c>
      <c r="D31" s="234" t="s">
        <v>706</v>
      </c>
    </row>
    <row r="32" spans="1:18">
      <c r="A32" s="229" t="s">
        <v>255</v>
      </c>
      <c r="B32" s="33">
        <f>IF(ISERROR(TER_rest_ele_kWh/1000),0,TER_rest_ele_kWh/1000)</f>
        <v>1578.1505205582398</v>
      </c>
      <c r="C32" s="39">
        <f>IF(ISERROR(B32*3.6/1000000/'E Balans VL '!Z8*100),0,B32*3.6/1000000/'E Balans VL '!Z8*100)</f>
        <v>1.3013062928348565E-2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5375.6853757122744</v>
      </c>
      <c r="C5" s="17">
        <f>IF(ISERROR('Eigen informatie GS &amp; warmtenet'!B59),0,'Eigen informatie GS &amp; warmtenet'!B59)</f>
        <v>0</v>
      </c>
      <c r="D5" s="30">
        <f>SUM(D6:D15)</f>
        <v>6869.2632613632331</v>
      </c>
      <c r="E5" s="17">
        <f>SUM(E6:E15)</f>
        <v>54.328679439495431</v>
      </c>
      <c r="F5" s="17">
        <f>SUM(F6:F15)</f>
        <v>1489.0187580845816</v>
      </c>
      <c r="G5" s="18"/>
      <c r="H5" s="17"/>
      <c r="I5" s="17"/>
      <c r="J5" s="17">
        <f>SUM(J6:J15)</f>
        <v>30.445623674230205</v>
      </c>
      <c r="K5" s="17"/>
      <c r="L5" s="17"/>
      <c r="M5" s="17"/>
      <c r="N5" s="17">
        <f>SUM(N6:N15)</f>
        <v>136.65704035826775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41.680322303356796</v>
      </c>
      <c r="C8" s="33"/>
      <c r="D8" s="37">
        <f>IF( ISERROR(IND_metaal_Gas_kWH/1000),0,IND_metaal_Gas_kWH/1000)*0.902</f>
        <v>0</v>
      </c>
      <c r="E8" s="33">
        <f>C30*'E Balans VL '!I18/100/3.6*1000000</f>
        <v>0.29287842847972062</v>
      </c>
      <c r="F8" s="33">
        <f>C30*'E Balans VL '!L18/100/3.6*1000000+C30*'E Balans VL '!N18/100/3.6*1000000</f>
        <v>4.5762555350209206</v>
      </c>
      <c r="G8" s="34"/>
      <c r="H8" s="33"/>
      <c r="I8" s="33"/>
      <c r="J8" s="40">
        <f>C30*'E Balans VL '!D18/100/3.6*1000000+C30*'E Balans VL '!E18/100/3.6*1000000</f>
        <v>0.8599548865420148</v>
      </c>
      <c r="K8" s="33"/>
      <c r="L8" s="33"/>
      <c r="M8" s="33"/>
      <c r="N8" s="33">
        <f>C30*'E Balans VL '!Y18/100/3.6*1000000</f>
        <v>0.15622084980657377</v>
      </c>
      <c r="O8" s="33"/>
      <c r="P8" s="33"/>
      <c r="R8" s="32"/>
    </row>
    <row r="9" spans="1:18">
      <c r="A9" s="6" t="s">
        <v>32</v>
      </c>
      <c r="B9" s="37">
        <f t="shared" si="0"/>
        <v>752.41149418485497</v>
      </c>
      <c r="C9" s="33"/>
      <c r="D9" s="37">
        <f>IF( ISERROR(IND_andere_gas_kWh/1000),0,IND_andere_gas_kWh/1000)*0.902</f>
        <v>117.59548401332073</v>
      </c>
      <c r="E9" s="33">
        <f>C31*'E Balans VL '!I19/100/3.6*1000000</f>
        <v>12.637672778344331</v>
      </c>
      <c r="F9" s="33">
        <f>C31*'E Balans VL '!L19/100/3.6*1000000+C31*'E Balans VL '!N19/100/3.6*1000000</f>
        <v>588.19245199482714</v>
      </c>
      <c r="G9" s="34"/>
      <c r="H9" s="33"/>
      <c r="I9" s="33"/>
      <c r="J9" s="40">
        <f>C31*'E Balans VL '!D19/100/3.6*1000000+C31*'E Balans VL '!E19/100/3.6*1000000</f>
        <v>6.7860874949601246E-2</v>
      </c>
      <c r="K9" s="33"/>
      <c r="L9" s="33"/>
      <c r="M9" s="33"/>
      <c r="N9" s="33">
        <f>C31*'E Balans VL '!Y19/100/3.6*1000000</f>
        <v>55.765763098790664</v>
      </c>
      <c r="O9" s="33"/>
      <c r="P9" s="33"/>
      <c r="R9" s="32"/>
    </row>
    <row r="10" spans="1:18">
      <c r="A10" s="6" t="s">
        <v>40</v>
      </c>
      <c r="B10" s="37">
        <f t="shared" si="0"/>
        <v>509.30393536742298</v>
      </c>
      <c r="C10" s="33"/>
      <c r="D10" s="37">
        <f>IF( ISERROR(IND_voed_gas_kWh/1000),0,IND_voed_gas_kWh/1000)*0.902</f>
        <v>0</v>
      </c>
      <c r="E10" s="33">
        <f>C32*'E Balans VL '!I20/100/3.6*1000000</f>
        <v>4.6466774650522007</v>
      </c>
      <c r="F10" s="33">
        <f>C32*'E Balans VL '!L20/100/3.6*1000000+C32*'E Balans VL '!N20/100/3.6*1000000</f>
        <v>82.166654869602013</v>
      </c>
      <c r="G10" s="34"/>
      <c r="H10" s="33"/>
      <c r="I10" s="33"/>
      <c r="J10" s="40">
        <f>C32*'E Balans VL '!D20/100/3.6*1000000+C32*'E Balans VL '!E20/100/3.6*1000000</f>
        <v>2.0976475216662966</v>
      </c>
      <c r="K10" s="33"/>
      <c r="L10" s="33"/>
      <c r="M10" s="33"/>
      <c r="N10" s="33">
        <f>C32*'E Balans VL '!Y20/100/3.6*1000000</f>
        <v>7.4507149770011001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4072.28962385664</v>
      </c>
      <c r="C15" s="33"/>
      <c r="D15" s="37">
        <f>IF( ISERROR(IND_rest_gas_kWh/1000),0,IND_rest_gas_kWh/1000)*0.902</f>
        <v>6751.6677773499123</v>
      </c>
      <c r="E15" s="33">
        <f>C37*'E Balans VL '!I15/100/3.6*1000000</f>
        <v>36.751450767619176</v>
      </c>
      <c r="F15" s="33">
        <f>C37*'E Balans VL '!L15/100/3.6*1000000+C37*'E Balans VL '!N15/100/3.6*1000000</f>
        <v>814.08339568513156</v>
      </c>
      <c r="G15" s="34"/>
      <c r="H15" s="33"/>
      <c r="I15" s="33"/>
      <c r="J15" s="40">
        <f>C37*'E Balans VL '!D15/100/3.6*1000000+C37*'E Balans VL '!E15/100/3.6*1000000</f>
        <v>27.420160391072294</v>
      </c>
      <c r="K15" s="33"/>
      <c r="L15" s="33"/>
      <c r="M15" s="33"/>
      <c r="N15" s="33">
        <f>C37*'E Balans VL '!Y15/100/3.6*1000000</f>
        <v>73.284341432669407</v>
      </c>
      <c r="O15" s="33"/>
      <c r="P15" s="33"/>
      <c r="R15" s="32"/>
    </row>
    <row r="16" spans="1:18">
      <c r="A16" s="16" t="s">
        <v>489</v>
      </c>
      <c r="B16" s="244">
        <f>'lokale energieproductie'!N39+'lokale energieproductie'!N32</f>
        <v>0</v>
      </c>
      <c r="C16" s="244">
        <f>'lokale energieproductie'!O39+'lokale energieproductie'!O32</f>
        <v>0</v>
      </c>
      <c r="D16" s="304">
        <f>('lokale energieproductie'!P32+'lokale energieproductie'!P39)*(-1)</f>
        <v>0</v>
      </c>
      <c r="E16" s="245"/>
      <c r="F16" s="304">
        <f>('lokale energieproductie'!S32+'lokale energieproductie'!S39)*(-1)</f>
        <v>0</v>
      </c>
      <c r="G16" s="246"/>
      <c r="H16" s="245"/>
      <c r="I16" s="245"/>
      <c r="J16" s="245"/>
      <c r="K16" s="245"/>
      <c r="L16" s="304">
        <f>('lokale energieproductie'!T32+'lokale energieproductie'!U32+'lokale energieproductie'!T39+'lokale energieproductie'!U39)*(-1)</f>
        <v>0</v>
      </c>
      <c r="M16" s="245"/>
      <c r="N16" s="304">
        <f>('lokale energieproductie'!Q32+'lokale energieproductie'!R32+'lokale energieproductie'!V32+'lokale energieproductie'!Q39+'lokale energieproductie'!R39+'lokale energieproductie'!V39)*(-1)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5375.6853757122744</v>
      </c>
      <c r="C18" s="21">
        <f>C5+C16</f>
        <v>0</v>
      </c>
      <c r="D18" s="21">
        <f>MAX((D5+D16),0)</f>
        <v>6869.2632613632331</v>
      </c>
      <c r="E18" s="21">
        <f>MAX((E5+E16),0)</f>
        <v>54.328679439495431</v>
      </c>
      <c r="F18" s="21">
        <f>MAX((F5+F16),0)</f>
        <v>1489.0187580845816</v>
      </c>
      <c r="G18" s="21"/>
      <c r="H18" s="21"/>
      <c r="I18" s="21"/>
      <c r="J18" s="21">
        <f>MAX((J5+J16),0)</f>
        <v>30.445623674230205</v>
      </c>
      <c r="K18" s="21"/>
      <c r="L18" s="21">
        <f>MAX((L5+L16),0)</f>
        <v>0</v>
      </c>
      <c r="M18" s="21"/>
      <c r="N18" s="21">
        <f>MAX((N5+N16),0)</f>
        <v>136.65704035826775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0.14132529637769209</v>
      </c>
      <c r="C20" s="25">
        <f ca="1">'EF ele_warmte'!B22</f>
        <v>9.2646833575474999E-2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759.72032895576228</v>
      </c>
      <c r="C22" s="23">
        <f ca="1">C18*C20</f>
        <v>0</v>
      </c>
      <c r="D22" s="23">
        <f>D18*D20</f>
        <v>1387.5911787953733</v>
      </c>
      <c r="E22" s="23">
        <f>E18*E20</f>
        <v>12.332610232765463</v>
      </c>
      <c r="F22" s="23">
        <f>F18*F20</f>
        <v>397.5680084085833</v>
      </c>
      <c r="G22" s="23"/>
      <c r="H22" s="23"/>
      <c r="I22" s="23"/>
      <c r="J22" s="23">
        <f>J18*J20</f>
        <v>10.777750780677492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41.680322303356796</v>
      </c>
      <c r="C30" s="39">
        <f>IF(ISERROR(B30*3.6/1000000/'E Balans VL '!Z18*100),0,B30*3.6/1000000/'E Balans VL '!Z18*100)</f>
        <v>2.7746845078721045E-3</v>
      </c>
      <c r="D30" s="234" t="s">
        <v>706</v>
      </c>
    </row>
    <row r="31" spans="1:18">
      <c r="A31" s="6" t="s">
        <v>32</v>
      </c>
      <c r="B31" s="37">
        <f>IF( ISERROR(IND_ander_ele_kWh/1000),0,IND_ander_ele_kWh/1000)</f>
        <v>752.41149418485497</v>
      </c>
      <c r="C31" s="39">
        <f>IF(ISERROR(B31*3.6/1000000/'E Balans VL '!Z19*100),0,B31*3.6/1000000/'E Balans VL '!Z19*100)</f>
        <v>3.3351419770452494E-2</v>
      </c>
      <c r="D31" s="234" t="s">
        <v>706</v>
      </c>
    </row>
    <row r="32" spans="1:18">
      <c r="A32" s="169" t="s">
        <v>40</v>
      </c>
      <c r="B32" s="37">
        <f>IF( ISERROR(IND_voed_ele_kWh/1000),0,IND_voed_ele_kWh/1000)</f>
        <v>509.30393536742298</v>
      </c>
      <c r="C32" s="39">
        <f>IF(ISERROR(B32*3.6/1000000/'E Balans VL '!Z20*100),0,B32*3.6/1000000/'E Balans VL '!Z20*100)</f>
        <v>1.7012212445171638E-2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4072.28962385664</v>
      </c>
      <c r="C37" s="39">
        <f>IF(ISERROR(B37*3.6/1000000/'E Balans VL '!Z15*100),0,B37*3.6/1000000/'E Balans VL '!Z15*100)</f>
        <v>3.0291200474200797E-2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1442.1685824459719</v>
      </c>
      <c r="C5" s="17">
        <f>'Eigen informatie GS &amp; warmtenet'!B60</f>
        <v>0</v>
      </c>
      <c r="D5" s="30">
        <f>IF(ISERROR(SUM(LB_lb_gas_kWh,LB_rest_gas_kWh)/1000),0,SUM(LB_lb_gas_kWh,LB_rest_gas_kWh)/1000)*0.902</f>
        <v>24631.518090612153</v>
      </c>
      <c r="E5" s="17">
        <f>B17*'E Balans VL '!I25/3.6*1000000/100</f>
        <v>15.102701612140192</v>
      </c>
      <c r="F5" s="17">
        <f>B17*('E Balans VL '!L25/3.6*1000000+'E Balans VL '!N25/3.6*1000000)/100</f>
        <v>6173.5773482629083</v>
      </c>
      <c r="G5" s="18"/>
      <c r="H5" s="17"/>
      <c r="I5" s="17"/>
      <c r="J5" s="17">
        <f>('E Balans VL '!D25+'E Balans VL '!E25)/3.6*1000000*landbouw!B17/100</f>
        <v>128.79858078994937</v>
      </c>
      <c r="K5" s="17"/>
      <c r="L5" s="17">
        <f>L6*(-1)</f>
        <v>13837.5</v>
      </c>
      <c r="M5" s="17"/>
      <c r="N5" s="17">
        <f>N6*(-1)</f>
        <v>28620</v>
      </c>
      <c r="O5" s="17"/>
      <c r="P5" s="17"/>
      <c r="R5" s="32"/>
    </row>
    <row r="6" spans="1:18">
      <c r="A6" s="16" t="s">
        <v>489</v>
      </c>
      <c r="B6" s="17" t="s">
        <v>210</v>
      </c>
      <c r="C6" s="17">
        <f>'lokale energieproductie'!O41+'lokale energieproductie'!O34</f>
        <v>32653.928571428572</v>
      </c>
      <c r="D6" s="304">
        <f>('lokale energieproductie'!P34+'lokale energieproductie'!P41)*(-1)</f>
        <v>-20082.857142857145</v>
      </c>
      <c r="E6" s="245"/>
      <c r="F6" s="304">
        <f>('lokale energieproductie'!S34+'lokale energieproductie'!S41)*(-1)</f>
        <v>-4612.5</v>
      </c>
      <c r="G6" s="246"/>
      <c r="H6" s="245"/>
      <c r="I6" s="245"/>
      <c r="J6" s="245"/>
      <c r="K6" s="245"/>
      <c r="L6" s="304">
        <f>('lokale energieproductie'!T34+'lokale energieproductie'!U34+'lokale energieproductie'!T41+'lokale energieproductie'!U41)*(-1)</f>
        <v>-13837.5</v>
      </c>
      <c r="M6" s="245"/>
      <c r="N6" s="304">
        <f>('lokale energieproductie'!V34+'lokale energieproductie'!R34+'lokale energieproductie'!Q34+'lokale energieproductie'!Q41+'lokale energieproductie'!R41+'lokale energieproductie'!V41)*(-1)</f>
        <v>-28620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1442.1685824459719</v>
      </c>
      <c r="C8" s="21">
        <f>C5+C6</f>
        <v>32653.928571428572</v>
      </c>
      <c r="D8" s="21">
        <f>MAX((D5+D6),0)</f>
        <v>4548.6609477550082</v>
      </c>
      <c r="E8" s="21">
        <f>MAX((E5+E6),0)</f>
        <v>15.102701612140192</v>
      </c>
      <c r="F8" s="21">
        <f>MAX((F5+F6),0)</f>
        <v>1561.0773482629083</v>
      </c>
      <c r="G8" s="21"/>
      <c r="H8" s="21"/>
      <c r="I8" s="21"/>
      <c r="J8" s="21">
        <f>MAX((J5+J6),0)</f>
        <v>128.79858078994937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0.14132529637769209</v>
      </c>
      <c r="C10" s="31">
        <f ca="1">'EF ele_warmte'!B22</f>
        <v>9.2646833575474999E-2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203.81490234077305</v>
      </c>
      <c r="C12" s="23">
        <f ca="1">C8*C10</f>
        <v>3025.2830859425912</v>
      </c>
      <c r="D12" s="23">
        <f>D8*D10</f>
        <v>918.82951144651167</v>
      </c>
      <c r="E12" s="23">
        <f>E8*E10</f>
        <v>3.4283132659558238</v>
      </c>
      <c r="F12" s="23">
        <f>F8*F10</f>
        <v>416.80765198619656</v>
      </c>
      <c r="G12" s="23"/>
      <c r="H12" s="23"/>
      <c r="I12" s="23"/>
      <c r="J12" s="23">
        <f>J8*J10</f>
        <v>45.594697599642075</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0.22197758383667968</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159.00145099644797</v>
      </c>
      <c r="C26" s="244">
        <f>B26*'GWP N2O_CH4'!B5</f>
        <v>3339.0304709254074</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59.002871419813189</v>
      </c>
      <c r="C27" s="244">
        <f>B27*'GWP N2O_CH4'!B5</f>
        <v>1239.0602998160771</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4.4834176637830074</v>
      </c>
      <c r="C28" s="244">
        <f>B28*'GWP N2O_CH4'!B4</f>
        <v>1389.8594757727324</v>
      </c>
      <c r="D28" s="50"/>
    </row>
    <row r="29" spans="1:4">
      <c r="A29" s="41" t="s">
        <v>272</v>
      </c>
      <c r="B29" s="244">
        <f>B34*'ha_N2O bodem landbouw'!B4</f>
        <v>14.197364413246342</v>
      </c>
      <c r="C29" s="244">
        <f>B29*'GWP N2O_CH4'!B4</f>
        <v>4401.1829681063664</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2.3463009331675957E-3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4.207703552389058E-6</v>
      </c>
      <c r="C5" s="435" t="s">
        <v>210</v>
      </c>
      <c r="D5" s="420">
        <f>SUM(D6:D11)</f>
        <v>1.3616818593331796E-5</v>
      </c>
      <c r="E5" s="420">
        <f>SUM(E6:E11)</f>
        <v>1.4100947966275341E-3</v>
      </c>
      <c r="F5" s="433" t="s">
        <v>210</v>
      </c>
      <c r="G5" s="420">
        <f>SUM(G6:G11)</f>
        <v>0.23377444222016425</v>
      </c>
      <c r="H5" s="420">
        <f>SUM(H6:H11)</f>
        <v>4.5069494661519251E-2</v>
      </c>
      <c r="I5" s="435" t="s">
        <v>210</v>
      </c>
      <c r="J5" s="435" t="s">
        <v>210</v>
      </c>
      <c r="K5" s="435" t="s">
        <v>210</v>
      </c>
      <c r="L5" s="435" t="s">
        <v>210</v>
      </c>
      <c r="M5" s="420">
        <f>SUM(M6:M11)</f>
        <v>1.2145137076203518E-2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3.8215974509213879E-6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1.210002200098118E-5</v>
      </c>
      <c r="E6" s="423">
        <f>vkm_GW_PW*SUMIFS(TableVerdeelsleutelVkm[LPG],TableVerdeelsleutelVkm[Voertuigtype],"Lichte voertuigen")*SUMIFS(TableECFTransport[EnergieConsumptieFactor (PJ per km)],TableECFTransport[Index],CONCATENATE($A6,"_LPG_LPG"))</f>
        <v>1.2609275098038537E-3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0.16795585864559481</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4.0292247829139968E-2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9.0898538592176295E-3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1.0408179847433977E-7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4.6917697861878022E-2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1.2702957932230331E-6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2.0212339340432935E-3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2.8188254380808933E-7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1.5167965923506155E-6</v>
      </c>
      <c r="E8" s="423">
        <f>vkm_NGW_PW*SUMIFS(TableVerdeelsleutelVkm[LPG],TableVerdeelsleutelVkm[Voertuigtype],"Lichte voertuigen")*SUMIFS(TableECFTransport[EnergieConsumptieFactor (PJ per km)],TableECFTransport[Index],CONCATENATE($A8,"_LPG_LPG"))</f>
        <v>1.4916728682368052E-4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1.8812371679325843E-2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4.7759744482627998E-3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1.0302360757623169E-3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1.4175918524059812E-10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8.8514033365580142E-5</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2.0883232639865805E-9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3.8132071802788949E-6</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1.168806542330294</v>
      </c>
      <c r="C14" s="21"/>
      <c r="D14" s="21">
        <f t="shared" ref="D14:M14" si="0">((D5)*10^9/3600)+D12</f>
        <v>3.7824496092588324</v>
      </c>
      <c r="E14" s="21">
        <f t="shared" si="0"/>
        <v>391.6929990632039</v>
      </c>
      <c r="F14" s="21"/>
      <c r="G14" s="21">
        <f t="shared" si="0"/>
        <v>64937.345061156731</v>
      </c>
      <c r="H14" s="21">
        <f t="shared" si="0"/>
        <v>12519.304072644236</v>
      </c>
      <c r="I14" s="21"/>
      <c r="J14" s="21"/>
      <c r="K14" s="21"/>
      <c r="L14" s="21"/>
      <c r="M14" s="21">
        <f t="shared" si="0"/>
        <v>3373.6491878343104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0.14132529637769209</v>
      </c>
      <c r="C16" s="56">
        <f ca="1">'EF ele_warmte'!B22</f>
        <v>9.2646833575474999E-2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0.16518193100301432</v>
      </c>
      <c r="C18" s="23"/>
      <c r="D18" s="23">
        <f t="shared" ref="D18:M18" si="1">D14*D16</f>
        <v>0.76405482107028422</v>
      </c>
      <c r="E18" s="23">
        <f t="shared" si="1"/>
        <v>88.91431078734729</v>
      </c>
      <c r="F18" s="23"/>
      <c r="G18" s="23">
        <f t="shared" si="1"/>
        <v>17338.271131328849</v>
      </c>
      <c r="H18" s="23">
        <f t="shared" si="1"/>
        <v>3117.3067140884145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2.1585851737869166E-5</v>
      </c>
      <c r="C50" s="315">
        <f t="shared" ref="C50:P50" si="2">SUM(C51:C52)</f>
        <v>0</v>
      </c>
      <c r="D50" s="315">
        <f t="shared" si="2"/>
        <v>0</v>
      </c>
      <c r="E50" s="315">
        <f t="shared" si="2"/>
        <v>0</v>
      </c>
      <c r="F50" s="315">
        <f t="shared" si="2"/>
        <v>0</v>
      </c>
      <c r="G50" s="315">
        <f t="shared" si="2"/>
        <v>4.6828338156368115E-3</v>
      </c>
      <c r="H50" s="315">
        <f t="shared" si="2"/>
        <v>0</v>
      </c>
      <c r="I50" s="315">
        <f t="shared" si="2"/>
        <v>0</v>
      </c>
      <c r="J50" s="315">
        <f t="shared" si="2"/>
        <v>0</v>
      </c>
      <c r="K50" s="315">
        <f t="shared" si="2"/>
        <v>0</v>
      </c>
      <c r="L50" s="315">
        <f t="shared" si="2"/>
        <v>0</v>
      </c>
      <c r="M50" s="315">
        <f t="shared" si="2"/>
        <v>2.0050095605472694E-4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2.1585851737869166E-5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4.6828338156368115E-3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2.0050095605472694E-4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5.9960699271858795</v>
      </c>
      <c r="C54" s="21">
        <f t="shared" ref="C54:P54" si="3">(C50)*10^9/3600</f>
        <v>0</v>
      </c>
      <c r="D54" s="21">
        <f t="shared" si="3"/>
        <v>0</v>
      </c>
      <c r="E54" s="21">
        <f t="shared" si="3"/>
        <v>0</v>
      </c>
      <c r="F54" s="21">
        <f t="shared" si="3"/>
        <v>0</v>
      </c>
      <c r="G54" s="21">
        <f t="shared" si="3"/>
        <v>1300.7871710102254</v>
      </c>
      <c r="H54" s="21">
        <f t="shared" si="3"/>
        <v>0</v>
      </c>
      <c r="I54" s="21">
        <f t="shared" si="3"/>
        <v>0</v>
      </c>
      <c r="J54" s="21">
        <f t="shared" si="3"/>
        <v>0</v>
      </c>
      <c r="K54" s="21">
        <f t="shared" si="3"/>
        <v>0</v>
      </c>
      <c r="L54" s="21">
        <f t="shared" si="3"/>
        <v>0</v>
      </c>
      <c r="M54" s="21">
        <f t="shared" si="3"/>
        <v>55.694710015201927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0.14132529637769209</v>
      </c>
      <c r="C56" s="56">
        <f ca="1">'EF ele_warmte'!B22</f>
        <v>9.2646833575474999E-2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0.84739635956091108</v>
      </c>
      <c r="C58" s="23">
        <f t="shared" ref="C58:P58" ca="1" si="4">C54*C56</f>
        <v>0</v>
      </c>
      <c r="D58" s="23">
        <f t="shared" si="4"/>
        <v>0</v>
      </c>
      <c r="E58" s="23">
        <f t="shared" si="4"/>
        <v>0</v>
      </c>
      <c r="F58" s="23">
        <f t="shared" si="4"/>
        <v>0</v>
      </c>
      <c r="G58" s="23">
        <f t="shared" si="4"/>
        <v>347.31017465973019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307" zoomScale="65" zoomScaleNormal="65" workbookViewId="0">
      <selection activeCell="M30" sqref="M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2584.5808656990648</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N31</f>
        <v>24426</v>
      </c>
      <c r="C8" s="546">
        <f>B50</f>
        <v>8593.9818224820083</v>
      </c>
      <c r="D8" s="965"/>
      <c r="E8" s="965">
        <f>E50</f>
        <v>1973.8098455924587</v>
      </c>
      <c r="F8" s="966"/>
      <c r="G8" s="547"/>
      <c r="H8" s="965">
        <f>I50</f>
        <v>0</v>
      </c>
      <c r="I8" s="965">
        <f>G50+F50</f>
        <v>5921.4295367773757</v>
      </c>
      <c r="J8" s="965">
        <f>H50+D50+C50</f>
        <v>12247.249383383451</v>
      </c>
      <c r="K8" s="965"/>
      <c r="L8" s="965"/>
      <c r="M8" s="965"/>
      <c r="N8" s="548"/>
      <c r="O8" s="549">
        <f>C8*$C$12+D8*$D$12+E8*$E$12+F8*$F$12+G8*$G$12+H8*$H$12+I8*$I$12+J8*$J$12</f>
        <v>2262.9915569145523</v>
      </c>
      <c r="P8" s="1255"/>
      <c r="Q8" s="1256"/>
      <c r="S8" s="998"/>
      <c r="T8" s="1252"/>
      <c r="U8" s="1252"/>
    </row>
    <row r="9" spans="1:21" s="534" customFormat="1" ht="17.45" customHeight="1" thickBot="1">
      <c r="A9" s="550" t="s">
        <v>243</v>
      </c>
      <c r="B9" s="1002">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27010.580865699063</v>
      </c>
      <c r="C10" s="558">
        <f t="shared" ref="C10:L10" si="0">SUM(C8:C9)</f>
        <v>8593.9818224820083</v>
      </c>
      <c r="D10" s="558">
        <f t="shared" si="0"/>
        <v>0</v>
      </c>
      <c r="E10" s="558">
        <f t="shared" si="0"/>
        <v>1973.8098455924587</v>
      </c>
      <c r="F10" s="558">
        <f t="shared" si="0"/>
        <v>0</v>
      </c>
      <c r="G10" s="558">
        <f t="shared" si="0"/>
        <v>0</v>
      </c>
      <c r="H10" s="558">
        <f t="shared" si="0"/>
        <v>0</v>
      </c>
      <c r="I10" s="558">
        <f t="shared" si="0"/>
        <v>5921.4295367773757</v>
      </c>
      <c r="J10" s="558">
        <f t="shared" si="0"/>
        <v>12247.249383383451</v>
      </c>
      <c r="K10" s="558">
        <f t="shared" si="0"/>
        <v>0</v>
      </c>
      <c r="L10" s="558">
        <f t="shared" si="0"/>
        <v>0</v>
      </c>
      <c r="M10" s="960"/>
      <c r="N10" s="960"/>
      <c r="O10" s="559">
        <f>SUM(O4:O9)</f>
        <v>2262.9915569145523</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O31</f>
        <v>32653.928571428572</v>
      </c>
      <c r="C17" s="570">
        <f>B51</f>
        <v>11488.875320375137</v>
      </c>
      <c r="D17" s="571"/>
      <c r="E17" s="571">
        <f>E51</f>
        <v>2638.6901544075413</v>
      </c>
      <c r="F17" s="572"/>
      <c r="G17" s="573"/>
      <c r="H17" s="570">
        <f>I51</f>
        <v>0</v>
      </c>
      <c r="I17" s="571">
        <f>G51+F51</f>
        <v>7916.0704632226243</v>
      </c>
      <c r="J17" s="571">
        <f>H51+D51+C51</f>
        <v>16372.750616616549</v>
      </c>
      <c r="K17" s="571"/>
      <c r="L17" s="571"/>
      <c r="M17" s="571"/>
      <c r="N17" s="961"/>
      <c r="O17" s="574">
        <f>C17*$C$22+E17*$E$22+H17*$H$22+I17*$I$22+J17*$J$22+D17*$D$22+F17*$F$22+G17*$G$22+K17*$K$22+L17*$L$22</f>
        <v>3025.2830859425912</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32653.928571428572</v>
      </c>
      <c r="C20" s="557">
        <f>SUM(C17:C19)</f>
        <v>11488.875320375137</v>
      </c>
      <c r="D20" s="557">
        <f t="shared" ref="D20:L20" si="1">SUM(D17:D19)</f>
        <v>0</v>
      </c>
      <c r="E20" s="557">
        <f t="shared" si="1"/>
        <v>2638.6901544075413</v>
      </c>
      <c r="F20" s="557">
        <f t="shared" si="1"/>
        <v>0</v>
      </c>
      <c r="G20" s="557">
        <f t="shared" si="1"/>
        <v>0</v>
      </c>
      <c r="H20" s="557">
        <f t="shared" si="1"/>
        <v>0</v>
      </c>
      <c r="I20" s="557">
        <f t="shared" si="1"/>
        <v>7916.0704632226243</v>
      </c>
      <c r="J20" s="557">
        <f t="shared" si="1"/>
        <v>16372.750616616549</v>
      </c>
      <c r="K20" s="557">
        <f t="shared" si="1"/>
        <v>0</v>
      </c>
      <c r="L20" s="557">
        <f t="shared" si="1"/>
        <v>0</v>
      </c>
      <c r="M20" s="557"/>
      <c r="N20" s="557"/>
      <c r="O20" s="578">
        <f>SUM(O17:O19)</f>
        <v>3025.2830859425912</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38.25">
      <c r="A28" s="582"/>
      <c r="B28" s="777">
        <v>13013</v>
      </c>
      <c r="C28" s="777">
        <v>2230</v>
      </c>
      <c r="D28" s="630" t="s">
        <v>983</v>
      </c>
      <c r="E28" s="629" t="s">
        <v>984</v>
      </c>
      <c r="F28" s="629" t="s">
        <v>985</v>
      </c>
      <c r="G28" s="629" t="s">
        <v>986</v>
      </c>
      <c r="H28" s="629" t="s">
        <v>987</v>
      </c>
      <c r="I28" s="629" t="s">
        <v>984</v>
      </c>
      <c r="J28" s="776">
        <v>39923</v>
      </c>
      <c r="K28" s="776">
        <v>39923</v>
      </c>
      <c r="L28" s="629" t="s">
        <v>988</v>
      </c>
      <c r="M28" s="629">
        <v>1562</v>
      </c>
      <c r="N28" s="629">
        <v>7029</v>
      </c>
      <c r="O28" s="629">
        <v>10041.428571428572</v>
      </c>
      <c r="P28" s="629">
        <v>20082.857142857145</v>
      </c>
      <c r="Q28" s="629">
        <v>0</v>
      </c>
      <c r="R28" s="629">
        <v>0</v>
      </c>
      <c r="S28" s="629">
        <v>0</v>
      </c>
      <c r="T28" s="629">
        <v>0</v>
      </c>
      <c r="U28" s="629">
        <v>0</v>
      </c>
      <c r="V28" s="629">
        <v>0</v>
      </c>
      <c r="W28" s="629">
        <v>0</v>
      </c>
      <c r="X28" s="629">
        <v>10</v>
      </c>
      <c r="Y28" s="629" t="s">
        <v>111</v>
      </c>
      <c r="Z28" s="631" t="s">
        <v>111</v>
      </c>
    </row>
    <row r="29" spans="1:26" s="583" customFormat="1" ht="38.25">
      <c r="A29" s="582"/>
      <c r="B29" s="777">
        <v>13013</v>
      </c>
      <c r="C29" s="777">
        <v>2230</v>
      </c>
      <c r="D29" s="630" t="s">
        <v>989</v>
      </c>
      <c r="E29" s="629" t="s">
        <v>990</v>
      </c>
      <c r="F29" s="629" t="s">
        <v>991</v>
      </c>
      <c r="G29" s="629" t="s">
        <v>986</v>
      </c>
      <c r="H29" s="629" t="s">
        <v>992</v>
      </c>
      <c r="I29" s="629" t="s">
        <v>993</v>
      </c>
      <c r="J29" s="776">
        <v>40389</v>
      </c>
      <c r="K29" s="776">
        <v>40389</v>
      </c>
      <c r="L29" s="629" t="s">
        <v>988</v>
      </c>
      <c r="M29" s="629">
        <v>1640</v>
      </c>
      <c r="N29" s="629">
        <v>7380</v>
      </c>
      <c r="O29" s="629">
        <v>8302.5</v>
      </c>
      <c r="P29" s="629">
        <v>0</v>
      </c>
      <c r="Q29" s="629">
        <v>0</v>
      </c>
      <c r="R29" s="629">
        <v>0</v>
      </c>
      <c r="S29" s="629">
        <v>4612.5</v>
      </c>
      <c r="T29" s="629">
        <v>13837.5</v>
      </c>
      <c r="U29" s="629">
        <v>0</v>
      </c>
      <c r="V29" s="629">
        <v>0</v>
      </c>
      <c r="W29" s="629">
        <v>0</v>
      </c>
      <c r="X29" s="629">
        <v>10</v>
      </c>
      <c r="Y29" s="629" t="s">
        <v>111</v>
      </c>
      <c r="Z29" s="631" t="s">
        <v>111</v>
      </c>
    </row>
    <row r="30" spans="1:26" s="583" customFormat="1" ht="25.5">
      <c r="A30" s="582"/>
      <c r="B30" s="777">
        <v>13013</v>
      </c>
      <c r="C30" s="777">
        <v>2230</v>
      </c>
      <c r="D30" s="630" t="s">
        <v>994</v>
      </c>
      <c r="E30" s="629" t="s">
        <v>995</v>
      </c>
      <c r="F30" s="629" t="s">
        <v>996</v>
      </c>
      <c r="G30" s="629" t="s">
        <v>986</v>
      </c>
      <c r="H30" s="629" t="s">
        <v>987</v>
      </c>
      <c r="I30" s="629" t="s">
        <v>995</v>
      </c>
      <c r="J30" s="776">
        <v>40168</v>
      </c>
      <c r="K30" s="776">
        <v>39933</v>
      </c>
      <c r="L30" s="629" t="s">
        <v>988</v>
      </c>
      <c r="M30" s="629">
        <v>2226</v>
      </c>
      <c r="N30" s="629">
        <v>10017</v>
      </c>
      <c r="O30" s="629">
        <v>14310</v>
      </c>
      <c r="P30" s="629">
        <v>0</v>
      </c>
      <c r="Q30" s="629">
        <v>28620</v>
      </c>
      <c r="R30" s="629">
        <v>0</v>
      </c>
      <c r="S30" s="629">
        <v>0</v>
      </c>
      <c r="T30" s="629">
        <v>0</v>
      </c>
      <c r="U30" s="629">
        <v>0</v>
      </c>
      <c r="V30" s="629">
        <v>0</v>
      </c>
      <c r="W30" s="629">
        <v>0</v>
      </c>
      <c r="X30" s="629">
        <v>10</v>
      </c>
      <c r="Y30" s="629" t="s">
        <v>111</v>
      </c>
      <c r="Z30" s="631" t="s">
        <v>111</v>
      </c>
    </row>
    <row r="31" spans="1:26" s="565" customFormat="1">
      <c r="A31" s="585" t="s">
        <v>275</v>
      </c>
      <c r="B31" s="586"/>
      <c r="C31" s="586"/>
      <c r="D31" s="586"/>
      <c r="E31" s="586"/>
      <c r="F31" s="586"/>
      <c r="G31" s="586"/>
      <c r="H31" s="586"/>
      <c r="I31" s="586"/>
      <c r="J31" s="586"/>
      <c r="K31" s="586"/>
      <c r="L31" s="587"/>
      <c r="M31" s="587">
        <f>SUM(M28:M30)</f>
        <v>5428</v>
      </c>
      <c r="N31" s="587">
        <f>SUM(N28:N30)</f>
        <v>24426</v>
      </c>
      <c r="O31" s="587">
        <f>SUM(O28:O30)</f>
        <v>32653.928571428572</v>
      </c>
      <c r="P31" s="587">
        <f>SUM(P28:P30)</f>
        <v>20082.857142857145</v>
      </c>
      <c r="Q31" s="587">
        <f>SUM(Q28:Q30)</f>
        <v>28620</v>
      </c>
      <c r="R31" s="587">
        <f>SUM(R28:R30)</f>
        <v>0</v>
      </c>
      <c r="S31" s="587">
        <f>SUM(S28:S30)</f>
        <v>4612.5</v>
      </c>
      <c r="T31" s="587">
        <f>SUM(T28:T30)</f>
        <v>13837.5</v>
      </c>
      <c r="U31" s="587">
        <f>SUM(U28:U30)</f>
        <v>0</v>
      </c>
      <c r="V31" s="587">
        <f>SUM(V28:V30)</f>
        <v>0</v>
      </c>
      <c r="W31" s="587">
        <f>SUM(W28:W30)</f>
        <v>0</v>
      </c>
      <c r="X31" s="588"/>
      <c r="Y31" s="588"/>
      <c r="Z31" s="589"/>
    </row>
    <row r="32" spans="1:26" s="565" customFormat="1">
      <c r="A32" s="585" t="s">
        <v>282</v>
      </c>
      <c r="B32" s="586"/>
      <c r="C32" s="586"/>
      <c r="D32" s="586"/>
      <c r="E32" s="586"/>
      <c r="F32" s="586"/>
      <c r="G32" s="586"/>
      <c r="H32" s="586"/>
      <c r="I32" s="586"/>
      <c r="J32" s="586"/>
      <c r="K32" s="586"/>
      <c r="L32" s="587"/>
      <c r="M32" s="587">
        <f>SUMIF($Z$28:$Z$30,"industrie",M28:M30)</f>
        <v>0</v>
      </c>
      <c r="N32" s="587">
        <f>SUMIF($Z$28:$Z$30,"industrie",N28:N30)</f>
        <v>0</v>
      </c>
      <c r="O32" s="587">
        <f>SUMIF($Z$28:$Z$30,"industrie",O28:O30)</f>
        <v>0</v>
      </c>
      <c r="P32" s="587">
        <f>SUMIF($Z$28:$Z$30,"industrie",P28:P30)</f>
        <v>0</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5" customFormat="1">
      <c r="A33" s="585" t="s">
        <v>283</v>
      </c>
      <c r="B33" s="586"/>
      <c r="C33" s="586"/>
      <c r="D33" s="586"/>
      <c r="E33" s="586"/>
      <c r="F33" s="586"/>
      <c r="G33" s="586"/>
      <c r="H33" s="586"/>
      <c r="I33" s="586"/>
      <c r="J33" s="586"/>
      <c r="K33" s="586"/>
      <c r="L33" s="587"/>
      <c r="M33" s="587">
        <f ca="1">SUMIF($Z$28:AC30,"tertiair",M28:M30)</f>
        <v>0</v>
      </c>
      <c r="N33" s="587">
        <f ca="1">SUMIF($Z$28:AD30,"tertiair",N28:N30)</f>
        <v>0</v>
      </c>
      <c r="O33" s="587">
        <f ca="1">SUMIF($Z$28:AE30,"tertiair",O28:O30)</f>
        <v>0</v>
      </c>
      <c r="P33" s="587">
        <f ca="1">SUMIF($Z$28:AF30,"tertiair",P28:P30)</f>
        <v>0</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5" customFormat="1" ht="15.75" thickBot="1">
      <c r="A34" s="590" t="s">
        <v>284</v>
      </c>
      <c r="B34" s="591"/>
      <c r="C34" s="591"/>
      <c r="D34" s="591"/>
      <c r="E34" s="591"/>
      <c r="F34" s="591"/>
      <c r="G34" s="591"/>
      <c r="H34" s="591"/>
      <c r="I34" s="591"/>
      <c r="J34" s="591"/>
      <c r="K34" s="591"/>
      <c r="L34" s="592"/>
      <c r="M34" s="592">
        <f>SUMIF($Z$28:$Z$30,"landbouw",M28:M30)</f>
        <v>5428</v>
      </c>
      <c r="N34" s="592">
        <f>SUMIF($Z$28:$Z$30,"landbouw",N28:N30)</f>
        <v>24426</v>
      </c>
      <c r="O34" s="592">
        <f>SUMIF($Z$28:$Z$30,"landbouw",O28:O30)</f>
        <v>32653.928571428572</v>
      </c>
      <c r="P34" s="592">
        <f>SUMIF($Z$28:$Z$30,"landbouw",P28:P30)</f>
        <v>20082.857142857145</v>
      </c>
      <c r="Q34" s="592">
        <f>SUMIF($Z$28:$Z$30,"landbouw",Q28:Q30)</f>
        <v>28620</v>
      </c>
      <c r="R34" s="592">
        <f>SUMIF($Z$28:$Z$30,"landbouw",R28:R30)</f>
        <v>0</v>
      </c>
      <c r="S34" s="592">
        <f>SUMIF($Z$28:$Z$30,"landbouw",S28:S30)</f>
        <v>4612.5</v>
      </c>
      <c r="T34" s="592">
        <f>SUMIF($Z$28:$Z$30,"landbouw",T28:T30)</f>
        <v>13837.5</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276</v>
      </c>
      <c r="B36" s="626" t="s">
        <v>89</v>
      </c>
      <c r="C36" s="626" t="s">
        <v>90</v>
      </c>
      <c r="D36" s="626" t="s">
        <v>91</v>
      </c>
      <c r="E36" s="626" t="s">
        <v>92</v>
      </c>
      <c r="F36" s="626" t="s">
        <v>93</v>
      </c>
      <c r="G36" s="626" t="s">
        <v>94</v>
      </c>
      <c r="H36" s="626" t="s">
        <v>95</v>
      </c>
      <c r="I36" s="626" t="s">
        <v>96</v>
      </c>
      <c r="J36" s="626" t="s">
        <v>97</v>
      </c>
      <c r="K36" s="626" t="s">
        <v>98</v>
      </c>
      <c r="L36" s="626" t="s">
        <v>99</v>
      </c>
      <c r="M36" s="627" t="s">
        <v>293</v>
      </c>
      <c r="N36" s="627" t="s">
        <v>100</v>
      </c>
      <c r="O36" s="627" t="s">
        <v>101</v>
      </c>
      <c r="P36" s="627" t="s">
        <v>535</v>
      </c>
      <c r="Q36" s="627" t="s">
        <v>102</v>
      </c>
      <c r="R36" s="627" t="s">
        <v>103</v>
      </c>
      <c r="S36" s="627" t="s">
        <v>104</v>
      </c>
      <c r="T36" s="627" t="s">
        <v>105</v>
      </c>
      <c r="U36" s="627" t="s">
        <v>106</v>
      </c>
      <c r="V36" s="627" t="s">
        <v>107</v>
      </c>
      <c r="W36" s="626" t="s">
        <v>108</v>
      </c>
      <c r="X36" s="626" t="s">
        <v>294</v>
      </c>
      <c r="Y36" s="626" t="s">
        <v>109</v>
      </c>
      <c r="Z36" s="628" t="s">
        <v>295</v>
      </c>
    </row>
    <row r="37" spans="1:27" s="598" customFormat="1" ht="12.75">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5" customFormat="1">
      <c r="A38" s="585" t="s">
        <v>275</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5" customFormat="1">
      <c r="A39" s="585" t="s">
        <v>282</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5" customFormat="1">
      <c r="A40" s="585" t="s">
        <v>283</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5" customFormat="1" ht="15.75" thickBot="1">
      <c r="A41" s="590" t="s">
        <v>284</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277</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278</v>
      </c>
      <c r="C46" s="609" t="s">
        <v>279</v>
      </c>
      <c r="D46" s="609"/>
      <c r="E46" s="609"/>
      <c r="F46" s="609"/>
      <c r="G46" s="609"/>
      <c r="H46" s="609"/>
      <c r="I46" s="610"/>
      <c r="J46" s="609"/>
      <c r="K46" s="609"/>
      <c r="L46" s="609"/>
      <c r="M46" s="609"/>
      <c r="N46" s="609"/>
      <c r="O46" s="609"/>
      <c r="P46" s="604"/>
    </row>
    <row r="47" spans="1:27">
      <c r="A47" s="606" t="s">
        <v>275</v>
      </c>
      <c r="B47" s="611">
        <f>IF(ISERROR(O31/(O31+N31)),0,O31/(O31+N31))</f>
        <v>0.5720737462130171</v>
      </c>
      <c r="C47" s="612">
        <f>IF(ISERROR(N31/(O31+N31)),0,N31/(N31+O31))</f>
        <v>0.4279262537869829</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535</v>
      </c>
      <c r="C49" s="619" t="s">
        <v>102</v>
      </c>
      <c r="D49" s="619" t="s">
        <v>103</v>
      </c>
      <c r="E49" s="619" t="s">
        <v>104</v>
      </c>
      <c r="F49" s="619" t="s">
        <v>105</v>
      </c>
      <c r="G49" s="619" t="s">
        <v>106</v>
      </c>
      <c r="H49" s="619" t="s">
        <v>107</v>
      </c>
      <c r="I49" s="620" t="s">
        <v>108</v>
      </c>
      <c r="J49" s="609"/>
      <c r="K49" s="609"/>
      <c r="L49" s="617"/>
      <c r="M49" s="617"/>
      <c r="N49" s="617"/>
      <c r="O49" s="604"/>
      <c r="P49" s="604"/>
    </row>
    <row r="50" spans="1:16">
      <c r="A50" s="608" t="s">
        <v>280</v>
      </c>
      <c r="B50" s="621">
        <f t="shared" ref="B50:I50" si="2">$C$47*P31</f>
        <v>8593.9818224820083</v>
      </c>
      <c r="C50" s="621">
        <f t="shared" si="2"/>
        <v>12247.249383383451</v>
      </c>
      <c r="D50" s="621">
        <f t="shared" si="2"/>
        <v>0</v>
      </c>
      <c r="E50" s="621">
        <f t="shared" si="2"/>
        <v>1973.8098455924587</v>
      </c>
      <c r="F50" s="621">
        <f t="shared" si="2"/>
        <v>5921.4295367773757</v>
      </c>
      <c r="G50" s="621">
        <f t="shared" si="2"/>
        <v>0</v>
      </c>
      <c r="H50" s="621">
        <f t="shared" si="2"/>
        <v>0</v>
      </c>
      <c r="I50" s="622">
        <f t="shared" si="2"/>
        <v>0</v>
      </c>
      <c r="J50" s="579"/>
      <c r="K50" s="579"/>
      <c r="L50" s="617"/>
      <c r="M50" s="617"/>
      <c r="N50" s="617"/>
      <c r="O50" s="604"/>
      <c r="P50" s="604"/>
    </row>
    <row r="51" spans="1:16" ht="15.75" thickBot="1">
      <c r="A51" s="623" t="s">
        <v>281</v>
      </c>
      <c r="B51" s="624">
        <f t="shared" ref="B51:I51" si="3">$B$47*P31</f>
        <v>11488.875320375137</v>
      </c>
      <c r="C51" s="624">
        <f t="shared" si="3"/>
        <v>16372.750616616549</v>
      </c>
      <c r="D51" s="624">
        <f t="shared" si="3"/>
        <v>0</v>
      </c>
      <c r="E51" s="624">
        <f t="shared" si="3"/>
        <v>2638.6901544075413</v>
      </c>
      <c r="F51" s="624">
        <f t="shared" si="3"/>
        <v>7916.0704632226243</v>
      </c>
      <c r="G51" s="624">
        <f t="shared" si="3"/>
        <v>0</v>
      </c>
      <c r="H51" s="624">
        <f t="shared" si="3"/>
        <v>0</v>
      </c>
      <c r="I51" s="625">
        <f t="shared" si="3"/>
        <v>0</v>
      </c>
      <c r="J51" s="579"/>
      <c r="K51" s="579"/>
      <c r="L51" s="617"/>
      <c r="M51" s="617"/>
      <c r="N51" s="617"/>
      <c r="O51" s="604"/>
      <c r="P51" s="604"/>
    </row>
    <row r="52" spans="1:16">
      <c r="J52" s="563"/>
      <c r="K52" s="563"/>
      <c r="L52" s="563"/>
      <c r="M52" s="563"/>
      <c r="N52" s="563"/>
    </row>
    <row r="53" spans="1:16">
      <c r="J53" s="563"/>
      <c r="K53" s="563"/>
      <c r="L53" s="563"/>
      <c r="M53" s="563"/>
      <c r="N53"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2021-06-29T16:53:16Z</dcterms:modified>
</cp:coreProperties>
</file>