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<sst xmlns="http://schemas.openxmlformats.org/spreadsheetml/2006/main" count="2599" uniqueCount="996">
  <si>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</si>
  <si>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</si>
  <si>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</si>
  <si>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</si>
  <si>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</si>
  <si>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</si>
  <si>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</si>
  <si>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</si>
  <si>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</si>
  <si>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</si>
  <si>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</si>
  <si>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</si>
  <si>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</si>
  <si>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</si>
  <si>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</si>
  <si>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</si>
  <si>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</si>
  <si>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</si>
  <si>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</si>
  <si>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</si>
  <si>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</si>
  <si>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</si>
  <si>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</si>
  <si>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</si>
  <si>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</si>
  <si>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</si>
  <si>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</si>
  <si>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</si>
  <si>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</si>
  <si>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</si>
  <si>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</si>
  <si>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</si>
  <si>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</si>
  <si>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</si>
  <si>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</si>
  <si>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</si>
  <si>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</si>
  <si>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</si>
  <si>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</si>
  <si>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</si>
  <si>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</si>
  <si>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</si>
  <si>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</si>
  <si>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</si>
  <si>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</si>
  <si>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</si>
  <si>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</si>
  <si>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</si>
  <si>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</si>
  <si>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</si>
  <si>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</si>
  <si>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</si>
  <si>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</si>
  <si>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</si>
  <si>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</si>
  <si>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</si>
  <si>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</si>
  <si>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</si>
  <si>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</si>
  <si>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</si>
  <si>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</si>
  <si>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</si>
  <si>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</si>
  <si>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</si>
  <si>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</si>
  <si>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</si>
  <si>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</si>
  <si>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</si>
  <si>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</si>
  <si>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</si>
  <si>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</si>
  <si>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</si>
  <si>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</si>
  <si>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</si>
  <si>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</si>
  <si>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</si>
  <si>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</si>
  <si>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</si>
  <si>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</si>
  <si>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</si>
  <si>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</si>
  <si>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</si>
  <si>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</si>
  <si>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</si>
  <si>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</si>
  <si>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</si>
  <si>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</si>
  <si>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</si>
  <si>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</si>
  <si>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</si>
  <si>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</si>
  <si>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</si>
  <si>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</si>
  <si>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</si>
  <si>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</si>
  <si>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</si>
  <si>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</si>
  <si>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</si>
  <si>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</si>
  <si>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</si>
  <si>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</si>
  <si>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</si>
  <si>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</si>
  <si>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</si>
  <si>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</si>
  <si>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</si>
  <si>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</si>
  <si>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</si>
  <si>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</si>
  <si>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</si>
  <si>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</si>
  <si>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</si>
  <si>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</si>
  <si>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</si>
  <si>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</si>
  <si>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</si>
  <si>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</si>
  <si>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</si>
  <si>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</si>
  <si>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</si>
  <si>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</si>
  <si>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</si>
  <si>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</si>
  <si>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</si>
  <si>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</si>
  <si>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</si>
  <si>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</si>
  <si>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</si>
  <si>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</si>
  <si>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</si>
  <si>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</si>
  <si>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</si>
  <si>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</si>
  <si>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</si>
  <si>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</si>
  <si>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</si>
  <si>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</si>
  <si>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</si>
  <si>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</si>
  <si>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</si>
  <si>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</si>
  <si>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</si>
  <si>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</si>
  <si>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</si>
  <si>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</si>
  <si>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</si>
  <si>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</si>
  <si>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</si>
  <si>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</si>
  <si>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</si>
  <si>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</si>
  <si>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</si>
  <si>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</si>
  <si>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</si>
  <si>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</si>
  <si>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</si>
  <si>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</si>
  <si>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</si>
  <si>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</si>
  <si>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</si>
  <si>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</si>
  <si>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</si>
  <si>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</si>
  <si>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</si>
  <si>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</si>
  <si>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</si>
  <si>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</si>
  <si>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</si>
  <si>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</si>
  <si>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</si>
  <si>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</si>
  <si>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</si>
  <si>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</si>
  <si>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</si>
  <si>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</si>
  <si>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</si>
  <si>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</si>
  <si>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</si>
  <si>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</si>
  <si>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</si>
  <si>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</si>
  <si>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</si>
  <si>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</si>
  <si>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</si>
  <si>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</si>
  <si>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</si>
  <si>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</si>
  <si>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</si>
  <si>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</si>
  <si>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</si>
  <si>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</si>
  <si>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</si>
  <si>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</si>
  <si>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</si>
  <si>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</si>
  <si>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</si>
  <si>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</si>
  <si>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</si>
  <si>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</si>
  <si>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</si>
  <si>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</si>
  <si>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</si>
  <si>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</si>
  <si>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</si>
  <si>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</si>
  <si>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</si>
  <si>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</si>
  <si>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</si>
  <si>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</si>
  <si>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</si>
  <si>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</si>
  <si>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</si>
  <si>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</si>
  <si>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</si>
  <si>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</si>
  <si>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</si>
  <si>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</si>
  <si>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</si>
  <si>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</si>
  <si>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</si>
  <si>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</si>
  <si>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</si>
  <si>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</si>
  <si>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</si>
  <si>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</si>
  <si>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</si>
  <si>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</si>
  <si>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</si>
  <si>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</si>
  <si>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</si>
  <si>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</si>
  <si>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</si>
  <si>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</si>
  <si>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</si>
  <si>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</si>
  <si>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</si>
  <si>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</si>
  <si>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</si>
  <si>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</si>
  <si>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</si>
  <si>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</si>
  <si>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</si>
  <si>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</si>
  <si>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</si>
  <si>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</si>
  <si>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</si>
  <si>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</si>
  <si>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</si>
  <si>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</si>
  <si>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</si>
  <si>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</si>
  <si>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</si>
  <si>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</si>
  <si>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</si>
  <si>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</si>
  <si>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</si>
  <si>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</si>
  <si>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</si>
  <si>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</si>
  <si>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</si>
  <si>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</si>
  <si>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</si>
  <si>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</si>
  <si>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</si>
  <si>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</si>
  <si>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</si>
  <si>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</si>
  <si>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</si>
  <si>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</si>
  <si>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</si>
  <si>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</si>
  <si>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</si>
  <si>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</si>
  <si>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</si>
  <si>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</si>
  <si>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</si>
  <si>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</si>
  <si>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</si>
  <si>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</si>
  <si>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</si>
  <si>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</si>
  <si>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</si>
  <si>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</si>
  <si>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</si>
  <si>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</si>
  <si>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</si>
  <si>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</si>
  <si>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</si>
  <si>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</si>
  <si>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</si>
  <si>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</si>
  <si>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</si>
  <si>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</si>
  <si>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</si>
  <si>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</si>
  <si>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</si>
  <si>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</si>
  <si>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</si>
  <si>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</si>
  <si>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</si>
  <si>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</si>
  <si>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</si>
  <si>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</si>
  <si>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</si>
  <si>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</si>
  <si>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</si>
  <si>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</si>
  <si>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</si>
  <si>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</si>
  <si>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</si>
  <si>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</si>
  <si>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</si>
  <si>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</si>
  <si>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</si>
  <si>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</si>
  <si>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</si>
  <si>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</si>
  <si>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</si>
  <si>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</si>
  <si>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</si>
  <si>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</si>
  <si>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</si>
  <si>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</si>
  <si>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</si>
  <si>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</si>
  <si>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</si>
  <si>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</si>
  <si>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</si>
  <si>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</si>
  <si>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</si>
  <si>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</si>
  <si>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</si>
  <si>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</si>
  <si>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</si>
  <si>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</si>
  <si>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</si>
  <si>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</si>
  <si>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</si>
  <si>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</si>
  <si>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</si>
  <si>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</si>
  <si>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</si>
  <si>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</si>
  <si>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</si>
  <si>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</si>
  <si>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</si>
  <si>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</si>
  <si>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</si>
  <si>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</si>
  <si>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</si>
  <si>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</si>
  <si>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</si>
  <si>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</si>
  <si>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</si>
  <si>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</si>
  <si>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</si>
  <si>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</si>
  <si>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</si>
  <si>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</si>
  <si>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</si>
  <si>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</si>
  <si>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</si>
  <si>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</si>
  <si>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</si>
  <si>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</si>
  <si>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</si>
  <si>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</si>
  <si>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</si>
  <si>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</si>
  <si>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</si>
  <si>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</si>
  <si>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</si>
  <si>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</si>
  <si>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</si>
  <si>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</si>
  <si>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</si>
  <si>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</si>
  <si>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</si>
  <si>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</si>
  <si>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</si>
  <si>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</si>
  <si>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</si>
  <si>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</si>
  <si>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</si>
  <si>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</si>
  <si>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</si>
  <si>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</si>
  <si>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</si>
  <si>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</si>
  <si>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</si>
  <si>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</si>
  <si>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</si>
  <si>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</si>
  <si>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</si>
  <si>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</si>
  <si>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</si>
  <si>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</si>
  <si>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</si>
  <si>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</si>
  <si>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</si>
  <si>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</si>
  <si>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</si>
  <si>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</si>
  <si>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</si>
  <si>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</si>
  <si>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</si>
  <si>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</si>
  <si>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</si>
  <si>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</si>
  <si>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</si>
  <si>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</si>
  <si>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</si>
  <si>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</si>
  <si>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</si>
  <si>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</si>
  <si>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</si>
  <si>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</si>
  <si>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</si>
  <si>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</si>
  <si>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</si>
  <si>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</si>
  <si>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</si>
  <si>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</si>
  <si>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</si>
  <si>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</si>
  <si>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</si>
  <si>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</si>
  <si>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</si>
  <si>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</si>
  <si>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</si>
  <si>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</si>
  <si>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</si>
  <si>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</si>
  <si>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</si>
  <si>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</si>
  <si>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</si>
  <si>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</si>
  <si>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</si>
  <si>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</si>
  <si>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</si>
  <si>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</si>
  <si>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</si>
  <si>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</si>
  <si>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</si>
  <si>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</si>
  <si>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</si>
  <si>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</si>
  <si>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</si>
  <si>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</si>
  <si>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</si>
  <si>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</si>
  <si>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</si>
  <si>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</si>
  <si>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</si>
  <si>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</si>
  <si>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</si>
  <si>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</si>
  <si>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</si>
  <si>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</si>
  <si>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</si>
  <si>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</si>
  <si>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</si>
  <si>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</si>
  <si>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</si>
  <si>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</si>
  <si>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</si>
  <si>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</si>
  <si>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</si>
  <si>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</si>
  <si>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</si>
  <si>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</si>
  <si>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</si>
  <si>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</si>
  <si>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</si>
  <si>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</si>
  <si>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</si>
  <si>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</si>
  <si>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</si>
  <si>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</si>
  <si>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</si>
  <si>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</si>
  <si>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</si>
  <si>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</si>
  <si>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</si>
  <si>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</si>
  <si>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</si>
  <si>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</si>
  <si>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</si>
  <si>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</si>
  <si>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</si>
  <si>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</si>
  <si>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</si>
  <si>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</si>
  <si>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</si>
  <si>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</si>
  <si>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</si>
  <si>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</si>
  <si>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</si>
  <si>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</si>
  <si>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</si>
  <si>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</si>
  <si>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</si>
  <si>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</si>
  <si>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</si>
  <si>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</si>
  <si>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</si>
  <si>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</si>
  <si>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</si>
  <si>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</si>
  <si>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</si>
  <si>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</si>
  <si>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</si>
  <si>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</si>
  <si>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</si>
  <si>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</si>
  <si>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</si>
  <si>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</si>
  <si>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</si>
  <si>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</si>
  <si>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</si>
  <si>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</si>
  <si>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</si>
  <si>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</si>
  <si>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</si>
  <si>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</si>
  <si>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</si>
  <si>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</si>
  <si>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</si>
  <si>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</si>
  <si>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</si>
  <si>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</si>
  <si>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</si>
  <si>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</si>
  <si>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</si>
  <si>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</si>
  <si>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</si>
  <si>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</si>
  <si>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</si>
  <si>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</si>
  <si>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</si>
  <si>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</si>
  <si>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</si>
  <si>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</si>
  <si>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</si>
  <si>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</si>
  <si>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</si>
  <si>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</si>
  <si>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</si>
  <si>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</si>
  <si>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</si>
  <si>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</si>
  <si>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</si>
  <si>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</si>
  <si>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</si>
  <si>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</si>
  <si>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</si>
  <si>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</si>
  <si>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</si>
  <si>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</si>
  <si>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</si>
  <si>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</si>
  <si>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</si>
  <si>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</si>
  <si>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</si>
  <si>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</si>
  <si>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</si>
  <si>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</si>
  <si>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</si>
  <si>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</si>
  <si>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</si>
  <si>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</si>
  <si>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</si>
  <si>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</si>
  <si>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</si>
  <si>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</si>
  <si>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</si>
  <si>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</si>
  <si>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</si>
  <si>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</si>
  <si>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</si>
  <si>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</si>
  <si>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</si>
  <si>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</si>
  <si>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</si>
  <si>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</si>
  <si>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</si>
  <si>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</si>
  <si>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</si>
  <si>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</si>
  <si>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</si>
  <si>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</si>
  <si>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</si>
  <si>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</si>
  <si>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</si>
  <si>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</si>
  <si>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</si>
  <si>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</si>
  <si>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</si>
  <si>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</si>
  <si>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</si>
  <si>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</si>
  <si>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</si>
  <si>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</si>
  <si>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</si>
  <si>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</si>
  <si>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</si>
  <si>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</si>
  <si>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</si>
  <si>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</si>
  <si>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</si>
  <si>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</si>
  <si>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</si>
  <si>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</si>
  <si>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</si>
  <si>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</si>
  <si>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</si>
  <si>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</si>
  <si>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</si>
  <si>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</si>
  <si>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</si>
  <si>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</si>
  <si>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</si>
  <si>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</si>
  <si>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</si>
  <si>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</si>
  <si>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</si>
  <si>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</si>
  <si>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</si>
  <si>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</si>
  <si>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</si>
  <si>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</si>
  <si>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</si>
  <si>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</si>
  <si>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</si>
  <si>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</si>
  <si>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</si>
  <si>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</si>
  <si>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</si>
  <si>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</si>
  <si>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</si>
  <si>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</si>
  <si>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</si>
  <si>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</si>
  <si>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</si>
  <si>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</si>
  <si>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</si>
  <si>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</si>
  <si>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</si>
  <si>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</si>
  <si>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</si>
  <si>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</si>
  <si>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</si>
  <si>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</si>
  <si>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</si>
  <si>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</si>
  <si>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</si>
  <si>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</si>
  <si>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</si>
  <si>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</si>
  <si>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</si>
  <si>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</si>
  <si>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</si>
  <si>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</si>
  <si>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</si>
  <si>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</si>
  <si>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</si>
  <si>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</si>
  <si>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</si>
  <si>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</si>
  <si>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</si>
  <si>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</si>
  <si>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</si>
  <si>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</si>
  <si>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</si>
  <si>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</si>
  <si>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</si>
  <si>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</si>
  <si>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</si>
  <si>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</si>
  <si>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</si>
  <si>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</si>
  <si>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</si>
  <si>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</si>
  <si>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</si>
  <si>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</si>
  <si>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</si>
  <si>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</si>
  <si>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</si>
  <si>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</si>
  <si>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</si>
  <si>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</si>
  <si>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</si>
  <si>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</si>
  <si>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</si>
  <si>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</si>
  <si>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</si>
  <si>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</si>
  <si>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</si>
  <si>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</si>
  <si>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</si>
  <si>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</si>
  <si>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</si>
  <si>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</si>
  <si>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</si>
  <si>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</si>
  <si>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</si>
  <si>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</si>
  <si>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</si>
  <si>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</si>
  <si>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</si>
  <si>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</si>
  <si>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</si>
  <si>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</si>
  <si>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</si>
  <si>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</si>
  <si>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</si>
  <si>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</si>
  <si>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</si>
  <si>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</si>
  <si>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</si>
  <si>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</si>
  <si>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</si>
  <si>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</si>
  <si>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</si>
  <si>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</si>
  <si>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</si>
  <si>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</si>
  <si>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</si>
  <si>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</si>
  <si>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</si>
  <si>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</si>
  <si>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</si>
  <si>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</si>
  <si>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</si>
  <si>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</si>
  <si>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</si>
  <si>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</si>
  <si>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</si>
  <si>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</si>
  <si>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</si>
  <si>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</si>
  <si>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</si>
  <si>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</si>
  <si>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</si>
  <si>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</si>
  <si>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</si>
  <si>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</si>
  <si>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</si>
  <si>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</si>
  <si>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</si>
  <si>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</si>
  <si>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</si>
  <si>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</si>
  <si>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</si>
  <si>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</si>
  <si>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</si>
  <si>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</si>
  <si>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</si>
  <si>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</si>
  <si>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</si>
  <si>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</si>
  <si>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</si>
  <si>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</si>
  <si>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</si>
  <si>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</si>
  <si>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</si>
  <si>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</si>
  <si>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</si>
  <si>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</si>
  <si>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</si>
  <si>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</si>
  <si>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</si>
  <si>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</si>
  <si>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</si>
  <si>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</si>
  <si>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</si>
  <si>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</si>
  <si>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</si>
  <si>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</si>
  <si>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</si>
  <si>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</si>
  <si>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</si>
  <si>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</si>
  <si>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</si>
  <si>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</si>
  <si>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</si>
  <si>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</si>
  <si>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</si>
  <si>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</si>
  <si>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</si>
  <si>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</si>
  <si>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</si>
  <si>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</si>
  <si>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</si>
  <si>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</si>
  <si>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</si>
  <si>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</si>
  <si>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</si>
  <si>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</si>
  <si>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</si>
  <si>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</si>
  <si>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</si>
  <si>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</si>
  <si>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</si>
  <si>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</si>
  <si>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</si>
  <si>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</si>
  <si>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</si>
  <si>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</si>
  <si>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</si>
  <si>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</si>
  <si>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</si>
  <si>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</si>
  <si>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</si>
  <si>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</si>
  <si>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</si>
  <si>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</si>
  <si>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</si>
  <si>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</si>
  <si>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</si>
  <si>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</si>
  <si>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</si>
  <si>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</si>
  <si>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</si>
  <si>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</si>
  <si>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</si>
  <si>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</si>
  <si>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</si>
  <si>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</si>
  <si>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</si>
  <si>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</si>
  <si>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</si>
  <si>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</si>
  <si>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</si>
  <si>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</si>
  <si>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</si>
  <si>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</si>
  <si>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</si>
  <si>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</si>
  <si>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</si>
  <si>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</si>
  <si>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</si>
  <si>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</si>
  <si>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</si>
  <si>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</si>
  <si>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</si>
  <si>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</si>
  <si>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</si>
  <si>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</si>
  <si>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</si>
  <si>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</si>
  <si>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</si>
  <si>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</si>
  <si>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</si>
  <si>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</si>
  <si>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</si>
  <si>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</si>
  <si>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</si>
  <si>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</si>
  <si>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</si>
  <si>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</si>
  <si>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</si>
  <si>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</si>
  <si>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</si>
  <si>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</si>
  <si>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</si>
  <si>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</si>
  <si>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</si>
  <si>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</si>
  <si>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</si>
  <si>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</si>
  <si>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</si>
  <si>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</si>
  <si>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</si>
  <si>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</si>
  <si>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</si>
  <si>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</si>
  <si>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</si>
  <si>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</si>
  <si>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</si>
  <si>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</si>
  <si>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</si>
  <si>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</si>
  <si>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</si>
  <si>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</si>
  <si>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</si>
  <si>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</si>
  <si>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</si>
  <si>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</si>
  <si>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</si>
  <si>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</si>
  <si>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</si>
  <si>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</si>
  <si>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</si>
  <si>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</si>
  <si>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</si>
  <si>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</si>
  <si>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</si>
  <si>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</si>
  <si>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</si>
  <si>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</si>
  <si>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</si>
  <si>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</si>
  <si>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</si>
  <si>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</si>
  <si>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</si>
  <si>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</si>
  <si>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</si>
  <si>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</si>
  <si>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</si>
  <si>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</si>
  <si>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</si>
  <si>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</si>
  <si>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</si>
  <si>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</si>
  <si>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</si>
  <si>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</si>
  <si>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</si>
  <si>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</si>
  <si>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</si>
  <si>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</si>
  <si>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</si>
  <si>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</si>
  <si>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</si>
  <si>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</si>
  <si>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</si>
  <si>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</si>
  <si>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</si>
  <si>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</si>
  <si>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</si>
  <si>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</si>
  <si>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</si>
  <si>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</si>
  <si>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</si>
  <si>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</si>
  <si>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</si>
  <si>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</si>
  <si>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</si>
  <si>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</si>
  <si>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</si>
  <si>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</si>
  <si>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</si>
  <si>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</si>
  <si>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</si>
  <si>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</si>
  <si>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</si>
  <si>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</si>
  <si>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</si>
  <si>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</si>
  <si>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</si>
  <si>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</si>
  <si>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</si>
  <si>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</si>
  <si>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</si>
  <si>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</si>
  <si>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</si>
  <si>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</si>
  <si>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</si>
  <si>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</si>
  <si>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</si>
  <si>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</si>
  <si>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</si>
  <si>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</si>
  <si>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</si>
  <si>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</si>
  <si>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</si>
  <si>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</si>
  <si>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</si>
  <si>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</si>
  <si>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</si>
  <si>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</si>
  <si>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</si>
  <si>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</si>
  <si>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</si>
  <si>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</si>
  <si>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</si>
  <si>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13011</t>
  </si>
  <si>
    <t>HERENTALS</t>
  </si>
  <si>
    <t>Paarden&amp;pony's 200 - 600 kg</t>
  </si>
  <si>
    <t>Paarden&amp;pony's &lt; 200 kg</t>
  </si>
  <si>
    <t>Fluvius</t>
  </si>
  <si>
    <t xml:space="preserve">Bron: </t>
  </si>
  <si>
    <t>referentietaak LNE (2017); Jaarverslag De Lijn</t>
  </si>
  <si>
    <t>Beirinckx Luc bvba</t>
  </si>
  <si>
    <t>Rossem 7, 2200 Noorderwijk</t>
  </si>
  <si>
    <t>WKK-0118 Beirinckx Luc</t>
  </si>
  <si>
    <t>interne verbrandingsmotor</t>
  </si>
  <si>
    <t>WKK interne verbrandinsgmotor (gas)</t>
  </si>
  <si>
    <t>IVEKA</t>
  </si>
  <si>
    <t>Aquafin NV</t>
  </si>
  <si>
    <t>Dijkstraat 8, 2630 Aartselaar</t>
  </si>
  <si>
    <t>BGS-0057 RWZI Morkhoven</t>
  </si>
  <si>
    <t>biogas - RWZI</t>
  </si>
  <si>
    <t>niet WKK interne verbrandingsmotor (gas)</t>
  </si>
  <si>
    <t>Wiekevorstseweg 44, 2200 Herentals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</si>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</sst>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13011</v>
      </c>
      <c r="B6" s="386"/>
      <c r="C6" s="387"/>
    </row>
    <row r="7" spans="1:7" s="384" customFormat="1" ht="15.75" customHeight="1">
      <c r="A7" s="388" t="str">
        <f>txtMunicipality</f>
        <v>HERENTALS</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69789.158372056219</v>
      </c>
      <c r="D10" s="676">
        <f ca="1">tertiair!C16</f>
        <v>0</v>
      </c>
      <c r="E10" s="676">
        <f ca="1">tertiair!D16</f>
        <v>62852.084698773084</v>
      </c>
      <c r="F10" s="676">
        <f>tertiair!E16</f>
        <v>1299.1944577881334</v>
      </c>
      <c r="G10" s="676">
        <f ca="1">tertiair!F16</f>
        <v>12538.066766665985</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0</v>
      </c>
      <c r="Q10" s="677">
        <f>tertiair!P16</f>
        <v>133.46666666666667</v>
      </c>
      <c r="R10" s="679">
        <f ca="1">SUM(C10:Q10)</f>
        <v>146611.97096195011</v>
      </c>
      <c r="S10" s="67"/>
    </row>
    <row r="11" spans="1:19" s="445" customFormat="1">
      <c r="A11" s="791" t="s">
        <v>220</v>
      </c>
      <c r="B11" s="796"/>
      <c r="C11" s="676">
        <f>huishoudens!B8</f>
        <v>44280.901553599499</v>
      </c>
      <c r="D11" s="676">
        <f>huishoudens!C8</f>
        <v>0</v>
      </c>
      <c r="E11" s="676">
        <f>huishoudens!D8</f>
        <v>131040.20254905854</v>
      </c>
      <c r="F11" s="676">
        <f>huishoudens!E8</f>
        <v>1509.7848257973733</v>
      </c>
      <c r="G11" s="676">
        <f>huishoudens!F8</f>
        <v>51535.592577275238</v>
      </c>
      <c r="H11" s="676">
        <f>huishoudens!G8</f>
        <v>0</v>
      </c>
      <c r="I11" s="676">
        <f>huishoudens!H8</f>
        <v>0</v>
      </c>
      <c r="J11" s="676">
        <f>huishoudens!I8</f>
        <v>0</v>
      </c>
      <c r="K11" s="676">
        <f>huishoudens!J8</f>
        <v>1160.4508873129098</v>
      </c>
      <c r="L11" s="676">
        <f>huishoudens!K8</f>
        <v>0</v>
      </c>
      <c r="M11" s="676">
        <f>huishoudens!L8</f>
        <v>0</v>
      </c>
      <c r="N11" s="676">
        <f>huishoudens!M8</f>
        <v>0</v>
      </c>
      <c r="O11" s="676">
        <f>huishoudens!N8</f>
        <v>13536.192001898567</v>
      </c>
      <c r="P11" s="676">
        <f>huishoudens!O8</f>
        <v>223.55666666666667</v>
      </c>
      <c r="Q11" s="677">
        <f>huishoudens!P8</f>
        <v>400.4</v>
      </c>
      <c r="R11" s="679">
        <f>SUM(C11:Q11)</f>
        <v>243687.0810616088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128382.36116887722</v>
      </c>
      <c r="D13" s="676">
        <f>industrie!C18</f>
        <v>0</v>
      </c>
      <c r="E13" s="676">
        <f>industrie!D18</f>
        <v>67358.239803378674</v>
      </c>
      <c r="F13" s="676">
        <f>industrie!E18</f>
        <v>1252.9493345559506</v>
      </c>
      <c r="G13" s="676">
        <f>industrie!F18</f>
        <v>31285.149464914324</v>
      </c>
      <c r="H13" s="676">
        <f>industrie!G18</f>
        <v>0</v>
      </c>
      <c r="I13" s="676">
        <f>industrie!H18</f>
        <v>0</v>
      </c>
      <c r="J13" s="676">
        <f>industrie!I18</f>
        <v>0</v>
      </c>
      <c r="K13" s="676">
        <f>industrie!J18</f>
        <v>1016.1612476827167</v>
      </c>
      <c r="L13" s="676">
        <f>industrie!K18</f>
        <v>0</v>
      </c>
      <c r="M13" s="676">
        <f>industrie!L18</f>
        <v>0</v>
      </c>
      <c r="N13" s="676">
        <f>industrie!M18</f>
        <v>0</v>
      </c>
      <c r="O13" s="676">
        <f>industrie!N18</f>
        <v>2724.9874961029909</v>
      </c>
      <c r="P13" s="676">
        <f>industrie!O18</f>
        <v>0</v>
      </c>
      <c r="Q13" s="677">
        <f>industrie!P18</f>
        <v>0</v>
      </c>
      <c r="R13" s="679">
        <f>SUM(C13:Q13)</f>
        <v>232019.84851551187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242452.42109453294</v>
      </c>
      <c r="D16" s="709">
        <f t="shared" ref="D16:R16" ca="1" si="0">SUM(D9:D15)</f>
        <v>0</v>
      </c>
      <c r="E16" s="709">
        <f t="shared" ca="1" si="0"/>
        <v>261250.52705121029</v>
      </c>
      <c r="F16" s="709">
        <f t="shared" si="0"/>
        <v>4061.9286181414573</v>
      </c>
      <c r="G16" s="709">
        <f t="shared" ca="1" si="0"/>
        <v>95358.808808855552</v>
      </c>
      <c r="H16" s="709">
        <f t="shared" si="0"/>
        <v>0</v>
      </c>
      <c r="I16" s="709">
        <f t="shared" si="0"/>
        <v>0</v>
      </c>
      <c r="J16" s="709">
        <f t="shared" si="0"/>
        <v>0</v>
      </c>
      <c r="K16" s="709">
        <f t="shared" si="0"/>
        <v>2176.6121349956265</v>
      </c>
      <c r="L16" s="709">
        <f t="shared" si="0"/>
        <v>0</v>
      </c>
      <c r="M16" s="709">
        <f t="shared" ca="1" si="0"/>
        <v>0</v>
      </c>
      <c r="N16" s="709">
        <f t="shared" si="0"/>
        <v>0</v>
      </c>
      <c r="O16" s="709">
        <f t="shared" ca="1" si="0"/>
        <v>16261.179498001558</v>
      </c>
      <c r="P16" s="709">
        <f t="shared" si="0"/>
        <v>223.55666666666667</v>
      </c>
      <c r="Q16" s="709">
        <f t="shared" si="0"/>
        <v>533.86666666666667</v>
      </c>
      <c r="R16" s="709">
        <f t="shared" ca="1" si="0"/>
        <v>622318.90053907072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11.615605055902302</v>
      </c>
      <c r="D19" s="676">
        <f>transport!C54</f>
        <v>0</v>
      </c>
      <c r="E19" s="676">
        <f>transport!D54</f>
        <v>0</v>
      </c>
      <c r="F19" s="676">
        <f>transport!E54</f>
        <v>0</v>
      </c>
      <c r="G19" s="676">
        <f>transport!F54</f>
        <v>0</v>
      </c>
      <c r="H19" s="676">
        <f>transport!G54</f>
        <v>2519.8888978485443</v>
      </c>
      <c r="I19" s="676">
        <f>transport!H54</f>
        <v>0</v>
      </c>
      <c r="J19" s="676">
        <f>transport!I54</f>
        <v>0</v>
      </c>
      <c r="K19" s="676">
        <f>transport!J54</f>
        <v>0</v>
      </c>
      <c r="L19" s="676">
        <f>transport!K54</f>
        <v>0</v>
      </c>
      <c r="M19" s="676">
        <f>transport!L54</f>
        <v>0</v>
      </c>
      <c r="N19" s="676">
        <f>transport!M54</f>
        <v>107.89196308509584</v>
      </c>
      <c r="O19" s="676">
        <f>transport!N54</f>
        <v>0</v>
      </c>
      <c r="P19" s="676">
        <f>transport!O54</f>
        <v>0</v>
      </c>
      <c r="Q19" s="677">
        <f>transport!P54</f>
        <v>0</v>
      </c>
      <c r="R19" s="679">
        <f>SUM(C19:Q19)</f>
        <v>2639.3964659895428</v>
      </c>
      <c r="S19" s="67"/>
    </row>
    <row r="20" spans="1:19" s="445" customFormat="1">
      <c r="A20" s="791" t="s">
        <v>302</v>
      </c>
      <c r="B20" s="796"/>
      <c r="C20" s="676">
        <f>transport!B14</f>
        <v>2.5697678513609774</v>
      </c>
      <c r="D20" s="676">
        <f>transport!C14</f>
        <v>0</v>
      </c>
      <c r="E20" s="676">
        <f>transport!D14</f>
        <v>8.418453204475103</v>
      </c>
      <c r="F20" s="676">
        <f>transport!E14</f>
        <v>932.26759618835524</v>
      </c>
      <c r="G20" s="676">
        <f>transport!F14</f>
        <v>0</v>
      </c>
      <c r="H20" s="676">
        <f>transport!G14</f>
        <v>179858.84754998304</v>
      </c>
      <c r="I20" s="676">
        <f>transport!H14</f>
        <v>28296.304793323427</v>
      </c>
      <c r="J20" s="676">
        <f>transport!I14</f>
        <v>0</v>
      </c>
      <c r="K20" s="676">
        <f>transport!J14</f>
        <v>0</v>
      </c>
      <c r="L20" s="676">
        <f>transport!K14</f>
        <v>0</v>
      </c>
      <c r="M20" s="676">
        <f>transport!L14</f>
        <v>0</v>
      </c>
      <c r="N20" s="676">
        <f>transport!M14</f>
        <v>9050.5102052446746</v>
      </c>
      <c r="O20" s="676">
        <f>transport!N14</f>
        <v>0</v>
      </c>
      <c r="P20" s="676">
        <f>transport!O14</f>
        <v>0</v>
      </c>
      <c r="Q20" s="677">
        <f>transport!P14</f>
        <v>0</v>
      </c>
      <c r="R20" s="679">
        <f>SUM(C20:Q20)</f>
        <v>218148.91836579531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14.185372907263279</v>
      </c>
      <c r="D22" s="794">
        <f t="shared" ref="D22:R22" si="1">SUM(D18:D21)</f>
        <v>0</v>
      </c>
      <c r="E22" s="794">
        <f t="shared" si="1"/>
        <v>8.418453204475103</v>
      </c>
      <c r="F22" s="794">
        <f t="shared" si="1"/>
        <v>932.26759618835524</v>
      </c>
      <c r="G22" s="794">
        <f t="shared" si="1"/>
        <v>0</v>
      </c>
      <c r="H22" s="794">
        <f t="shared" si="1"/>
        <v>182378.73644783159</v>
      </c>
      <c r="I22" s="794">
        <f t="shared" si="1"/>
        <v>28296.304793323427</v>
      </c>
      <c r="J22" s="794">
        <f t="shared" si="1"/>
        <v>0</v>
      </c>
      <c r="K22" s="794">
        <f t="shared" si="1"/>
        <v>0</v>
      </c>
      <c r="L22" s="794">
        <f t="shared" si="1"/>
        <v>0</v>
      </c>
      <c r="M22" s="794">
        <f t="shared" si="1"/>
        <v>0</v>
      </c>
      <c r="N22" s="794">
        <f t="shared" si="1"/>
        <v>9158.4021683297706</v>
      </c>
      <c r="O22" s="794">
        <f t="shared" si="1"/>
        <v>0</v>
      </c>
      <c r="P22" s="794">
        <f t="shared" si="1"/>
        <v>0</v>
      </c>
      <c r="Q22" s="794">
        <f t="shared" si="1"/>
        <v>0</v>
      </c>
      <c r="R22" s="794">
        <f t="shared" si="1"/>
        <v>220788.31483178487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1447.5547885856549</v>
      </c>
      <c r="D24" s="676">
        <f>+landbouw!C8</f>
        <v>19549.285714285714</v>
      </c>
      <c r="E24" s="676">
        <f>+landbouw!D8</f>
        <v>1475.0844980726179</v>
      </c>
      <c r="F24" s="676">
        <f>+landbouw!E8</f>
        <v>15.159107128901033</v>
      </c>
      <c r="G24" s="676">
        <f>+landbouw!F8</f>
        <v>6196.6344031882254</v>
      </c>
      <c r="H24" s="676">
        <f>+landbouw!G8</f>
        <v>0</v>
      </c>
      <c r="I24" s="676">
        <f>+landbouw!H8</f>
        <v>0</v>
      </c>
      <c r="J24" s="676">
        <f>+landbouw!I8</f>
        <v>0</v>
      </c>
      <c r="K24" s="676">
        <f>+landbouw!J8</f>
        <v>129.27961727561231</v>
      </c>
      <c r="L24" s="676">
        <f>+landbouw!K8</f>
        <v>0</v>
      </c>
      <c r="M24" s="676">
        <f>+landbouw!L8</f>
        <v>0</v>
      </c>
      <c r="N24" s="676">
        <f>+landbouw!M8</f>
        <v>0</v>
      </c>
      <c r="O24" s="676">
        <f>+landbouw!N8</f>
        <v>0</v>
      </c>
      <c r="P24" s="676">
        <f>+landbouw!O8</f>
        <v>0</v>
      </c>
      <c r="Q24" s="677">
        <f>+landbouw!P8</f>
        <v>0</v>
      </c>
      <c r="R24" s="679">
        <f>SUM(C24:Q24)</f>
        <v>28812.998128536725</v>
      </c>
      <c r="S24" s="67"/>
    </row>
    <row r="25" spans="1:19" s="445" customFormat="1" ht="15" thickBot="1">
      <c r="A25" s="813" t="s">
        <v>895</v>
      </c>
      <c r="B25" s="968"/>
      <c r="C25" s="969">
        <f>IF(Onbekend_ele_kWh="---",0,Onbekend_ele_kWh)/1000+IF(REST_rest_ele_kWh="---",0,REST_rest_ele_kWh)/1000</f>
        <v>2404.8238223205199</v>
      </c>
      <c r="D25" s="969"/>
      <c r="E25" s="969">
        <f>IF(onbekend_gas_kWh="---",0,onbekend_gas_kWh)/1000+IF(REST_rest_gas_kWh="---",0,REST_rest_gas_kWh)/1000</f>
        <v>6542.2971716701695</v>
      </c>
      <c r="F25" s="969"/>
      <c r="G25" s="969"/>
      <c r="H25" s="969"/>
      <c r="I25" s="969"/>
      <c r="J25" s="969"/>
      <c r="K25" s="969"/>
      <c r="L25" s="969"/>
      <c r="M25" s="969"/>
      <c r="N25" s="969"/>
      <c r="O25" s="969"/>
      <c r="P25" s="969"/>
      <c r="Q25" s="970"/>
      <c r="R25" s="679">
        <f>SUM(C25:Q25)</f>
        <v>8947.1209939906894</v>
      </c>
      <c r="S25" s="67"/>
    </row>
    <row r="26" spans="1:19" s="445" customFormat="1" ht="15.75" thickBot="1">
      <c r="A26" s="682" t="s">
        <v>896</v>
      </c>
      <c r="B26" s="799"/>
      <c r="C26" s="794">
        <f>SUM(C24:C25)</f>
        <v>3852.3786109061748</v>
      </c>
      <c r="D26" s="794">
        <f t="shared" ref="D26:R26" si="2">SUM(D24:D25)</f>
        <v>19549.285714285714</v>
      </c>
      <c r="E26" s="794">
        <f t="shared" si="2"/>
        <v>8017.3816697427874</v>
      </c>
      <c r="F26" s="794">
        <f t="shared" si="2"/>
        <v>15.159107128901033</v>
      </c>
      <c r="G26" s="794">
        <f t="shared" si="2"/>
        <v>6196.6344031882254</v>
      </c>
      <c r="H26" s="794">
        <f t="shared" si="2"/>
        <v>0</v>
      </c>
      <c r="I26" s="794">
        <f t="shared" si="2"/>
        <v>0</v>
      </c>
      <c r="J26" s="794">
        <f t="shared" si="2"/>
        <v>0</v>
      </c>
      <c r="K26" s="794">
        <f t="shared" si="2"/>
        <v>129.27961727561231</v>
      </c>
      <c r="L26" s="794">
        <f t="shared" si="2"/>
        <v>0</v>
      </c>
      <c r="M26" s="794">
        <f t="shared" si="2"/>
        <v>0</v>
      </c>
      <c r="N26" s="794">
        <f t="shared" si="2"/>
        <v>0</v>
      </c>
      <c r="O26" s="794">
        <f t="shared" si="2"/>
        <v>0</v>
      </c>
      <c r="P26" s="794">
        <f t="shared" si="2"/>
        <v>0</v>
      </c>
      <c r="Q26" s="794">
        <f t="shared" si="2"/>
        <v>0</v>
      </c>
      <c r="R26" s="794">
        <f t="shared" si="2"/>
        <v>37760.119122527416</v>
      </c>
      <c r="S26" s="67"/>
    </row>
    <row r="27" spans="1:19" s="445" customFormat="1" ht="17.25" thickTop="1" thickBot="1">
      <c r="A27" s="683" t="s">
        <v>115</v>
      </c>
      <c r="B27" s="786"/>
      <c r="C27" s="684">
        <f ca="1">C22+C16+C26</f>
        <v>246318.98507834636</v>
      </c>
      <c r="D27" s="684">
        <f t="shared" ref="D27:R27" ca="1" si="3">D22+D16+D26</f>
        <v>19549.285714285714</v>
      </c>
      <c r="E27" s="684">
        <f t="shared" ca="1" si="3"/>
        <v>269276.32717415754</v>
      </c>
      <c r="F27" s="684">
        <f t="shared" si="3"/>
        <v>5009.3553214587137</v>
      </c>
      <c r="G27" s="684">
        <f t="shared" ca="1" si="3"/>
        <v>101555.44321204379</v>
      </c>
      <c r="H27" s="684">
        <f t="shared" si="3"/>
        <v>182378.73644783159</v>
      </c>
      <c r="I27" s="684">
        <f t="shared" si="3"/>
        <v>28296.304793323427</v>
      </c>
      <c r="J27" s="684">
        <f t="shared" si="3"/>
        <v>0</v>
      </c>
      <c r="K27" s="684">
        <f t="shared" si="3"/>
        <v>2305.8917522712391</v>
      </c>
      <c r="L27" s="684">
        <f t="shared" si="3"/>
        <v>0</v>
      </c>
      <c r="M27" s="684">
        <f t="shared" ca="1" si="3"/>
        <v>0</v>
      </c>
      <c r="N27" s="684">
        <f t="shared" si="3"/>
        <v>9158.4021683297706</v>
      </c>
      <c r="O27" s="684">
        <f t="shared" ca="1" si="3"/>
        <v>16261.179498001558</v>
      </c>
      <c r="P27" s="684">
        <f t="shared" si="3"/>
        <v>223.55666666666667</v>
      </c>
      <c r="Q27" s="684">
        <f t="shared" si="3"/>
        <v>533.86666666666667</v>
      </c>
      <c r="R27" s="684">
        <f t="shared" ca="1" si="3"/>
        <v>880867.33449338295</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15074.069969020018</v>
      </c>
      <c r="D40" s="676">
        <f ca="1">tertiair!C20</f>
        <v>0</v>
      </c>
      <c r="E40" s="676">
        <f ca="1">tertiair!D20</f>
        <v>12696.121109152164</v>
      </c>
      <c r="F40" s="676">
        <f>tertiair!E20</f>
        <v>294.91714191790629</v>
      </c>
      <c r="G40" s="676">
        <f ca="1">tertiair!F20</f>
        <v>3347.6638266998179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31412.772046789905</v>
      </c>
    </row>
    <row r="41" spans="1:18">
      <c r="A41" s="804" t="s">
        <v>220</v>
      </c>
      <c r="B41" s="811"/>
      <c r="C41" s="676">
        <f ca="1">huishoudens!B12</f>
        <v>9564.4283994906637</v>
      </c>
      <c r="D41" s="676">
        <f ca="1">huishoudens!C12</f>
        <v>0</v>
      </c>
      <c r="E41" s="676">
        <f>huishoudens!D12</f>
        <v>26470.120914909825</v>
      </c>
      <c r="F41" s="676">
        <f>huishoudens!E12</f>
        <v>342.72115545600377</v>
      </c>
      <c r="G41" s="676">
        <f>huishoudens!F12</f>
        <v>13760.00321813249</v>
      </c>
      <c r="H41" s="676">
        <f>huishoudens!G12</f>
        <v>0</v>
      </c>
      <c r="I41" s="676">
        <f>huishoudens!H12</f>
        <v>0</v>
      </c>
      <c r="J41" s="676">
        <f>huishoudens!I12</f>
        <v>0</v>
      </c>
      <c r="K41" s="676">
        <f>huishoudens!J12</f>
        <v>410.79961410877007</v>
      </c>
      <c r="L41" s="676">
        <f>huishoudens!K12</f>
        <v>0</v>
      </c>
      <c r="M41" s="676">
        <f>huishoudens!L12</f>
        <v>0</v>
      </c>
      <c r="N41" s="676">
        <f>huishoudens!M12</f>
        <v>0</v>
      </c>
      <c r="O41" s="676">
        <f>huishoudens!N12</f>
        <v>0</v>
      </c>
      <c r="P41" s="676">
        <f>huishoudens!O12</f>
        <v>0</v>
      </c>
      <c r="Q41" s="751">
        <f>huishoudens!P12</f>
        <v>0</v>
      </c>
      <c r="R41" s="832">
        <f t="shared" ca="1" si="4"/>
        <v>50548.073302097757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27729.875817252032</v>
      </c>
      <c r="D43" s="676">
        <f ca="1">industrie!C22</f>
        <v>0</v>
      </c>
      <c r="E43" s="676">
        <f>industrie!D22</f>
        <v>13606.364440282494</v>
      </c>
      <c r="F43" s="676">
        <f>industrie!E22</f>
        <v>284.41949894420077</v>
      </c>
      <c r="G43" s="676">
        <f>industrie!F22</f>
        <v>8353.1349071321256</v>
      </c>
      <c r="H43" s="676">
        <f>industrie!G22</f>
        <v>0</v>
      </c>
      <c r="I43" s="676">
        <f>industrie!H22</f>
        <v>0</v>
      </c>
      <c r="J43" s="676">
        <f>industrie!I22</f>
        <v>0</v>
      </c>
      <c r="K43" s="676">
        <f>industrie!J22</f>
        <v>359.72108167968173</v>
      </c>
      <c r="L43" s="676">
        <f>industrie!K22</f>
        <v>0</v>
      </c>
      <c r="M43" s="676">
        <f>industrie!L22</f>
        <v>0</v>
      </c>
      <c r="N43" s="676">
        <f>industrie!M22</f>
        <v>0</v>
      </c>
      <c r="O43" s="676">
        <f>industrie!N22</f>
        <v>0</v>
      </c>
      <c r="P43" s="676">
        <f>industrie!O22</f>
        <v>0</v>
      </c>
      <c r="Q43" s="751">
        <f>industrie!P22</f>
        <v>0</v>
      </c>
      <c r="R43" s="831">
        <f t="shared" ca="1" si="4"/>
        <v>50333.515745290533</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52368.374185762717</v>
      </c>
      <c r="D46" s="709">
        <f t="shared" ref="D46:Q46" ca="1" si="5">SUM(D39:D45)</f>
        <v>0</v>
      </c>
      <c r="E46" s="709">
        <f t="shared" ca="1" si="5"/>
        <v>52772.606464344484</v>
      </c>
      <c r="F46" s="709">
        <f t="shared" si="5"/>
        <v>922.05779631811083</v>
      </c>
      <c r="G46" s="709">
        <f t="shared" ca="1" si="5"/>
        <v>25460.801951964429</v>
      </c>
      <c r="H46" s="709">
        <f t="shared" si="5"/>
        <v>0</v>
      </c>
      <c r="I46" s="709">
        <f t="shared" si="5"/>
        <v>0</v>
      </c>
      <c r="J46" s="709">
        <f t="shared" si="5"/>
        <v>0</v>
      </c>
      <c r="K46" s="709">
        <f t="shared" si="5"/>
        <v>770.5206957884518</v>
      </c>
      <c r="L46" s="709">
        <f t="shared" si="5"/>
        <v>0</v>
      </c>
      <c r="M46" s="709">
        <f t="shared" ca="1" si="5"/>
        <v>0</v>
      </c>
      <c r="N46" s="709">
        <f t="shared" si="5"/>
        <v>0</v>
      </c>
      <c r="O46" s="709">
        <f t="shared" ca="1" si="5"/>
        <v>0</v>
      </c>
      <c r="P46" s="709">
        <f t="shared" si="5"/>
        <v>0</v>
      </c>
      <c r="Q46" s="709">
        <f t="shared" si="5"/>
        <v>0</v>
      </c>
      <c r="R46" s="709">
        <f ca="1">SUM(R39:R45)</f>
        <v>132294.3610941782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2.5089060740884692</v>
      </c>
      <c r="D49" s="676">
        <f ca="1">transport!C58</f>
        <v>0</v>
      </c>
      <c r="E49" s="676">
        <f>transport!D58</f>
        <v>0</v>
      </c>
      <c r="F49" s="676">
        <f>transport!E58</f>
        <v>0</v>
      </c>
      <c r="G49" s="676">
        <f>transport!F58</f>
        <v>0</v>
      </c>
      <c r="H49" s="676">
        <f>transport!G58</f>
        <v>672.81033572556134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675.31924179964983</v>
      </c>
    </row>
    <row r="50" spans="1:18">
      <c r="A50" s="807" t="s">
        <v>302</v>
      </c>
      <c r="B50" s="817"/>
      <c r="C50" s="975">
        <f ca="1">transport!B18</f>
        <v>0.55505556019234015</v>
      </c>
      <c r="D50" s="975">
        <f>transport!C18</f>
        <v>0</v>
      </c>
      <c r="E50" s="975">
        <f>transport!D18</f>
        <v>1.7005275473039709</v>
      </c>
      <c r="F50" s="975">
        <f>transport!E18</f>
        <v>211.62474433475666</v>
      </c>
      <c r="G50" s="975">
        <f>transport!F18</f>
        <v>0</v>
      </c>
      <c r="H50" s="975">
        <f>transport!G18</f>
        <v>48022.312295845477</v>
      </c>
      <c r="I50" s="975">
        <f>transport!H18</f>
        <v>7045.7798935375331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55281.972516825263</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3.0639616342808091</v>
      </c>
      <c r="D52" s="709">
        <f t="shared" ref="D52:Q52" ca="1" si="6">SUM(D48:D51)</f>
        <v>0</v>
      </c>
      <c r="E52" s="709">
        <f t="shared" si="6"/>
        <v>1.7005275473039709</v>
      </c>
      <c r="F52" s="709">
        <f t="shared" si="6"/>
        <v>211.62474433475666</v>
      </c>
      <c r="G52" s="709">
        <f t="shared" si="6"/>
        <v>0</v>
      </c>
      <c r="H52" s="709">
        <f t="shared" si="6"/>
        <v>48695.122631571037</v>
      </c>
      <c r="I52" s="709">
        <f t="shared" si="6"/>
        <v>7045.7798935375331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55957.29175862491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312.66378154041689</v>
      </c>
      <c r="D54" s="975">
        <f ca="1">+landbouw!C12</f>
        <v>4645.8302521008409</v>
      </c>
      <c r="E54" s="975">
        <f>+landbouw!D12</f>
        <v>297.96706861066883</v>
      </c>
      <c r="F54" s="975">
        <f>+landbouw!E12</f>
        <v>3.4411173182605346</v>
      </c>
      <c r="G54" s="975">
        <f>+landbouw!F12</f>
        <v>1654.5013856512562</v>
      </c>
      <c r="H54" s="975">
        <f>+landbouw!G12</f>
        <v>0</v>
      </c>
      <c r="I54" s="975">
        <f>+landbouw!H12</f>
        <v>0</v>
      </c>
      <c r="J54" s="975">
        <f>+landbouw!I12</f>
        <v>0</v>
      </c>
      <c r="K54" s="975">
        <f>+landbouw!J12</f>
        <v>45.764984515566752</v>
      </c>
      <c r="L54" s="975">
        <f>+landbouw!K12</f>
        <v>0</v>
      </c>
      <c r="M54" s="975">
        <f>+landbouw!L12</f>
        <v>0</v>
      </c>
      <c r="N54" s="975">
        <f>+landbouw!M12</f>
        <v>0</v>
      </c>
      <c r="O54" s="975">
        <f>+landbouw!N12</f>
        <v>0</v>
      </c>
      <c r="P54" s="975">
        <f>+landbouw!O12</f>
        <v>0</v>
      </c>
      <c r="Q54" s="976">
        <f>+landbouw!P12</f>
        <v>0</v>
      </c>
      <c r="R54" s="708">
        <f ca="1">SUM(C54:Q54)</f>
        <v>6960.1685897370098</v>
      </c>
    </row>
    <row r="55" spans="1:18" ht="15" thickBot="1">
      <c r="A55" s="807" t="s">
        <v>895</v>
      </c>
      <c r="B55" s="817"/>
      <c r="C55" s="975">
        <f ca="1">C25*'EF ele_warmte'!B12</f>
        <v>519.42856750856708</v>
      </c>
      <c r="D55" s="975"/>
      <c r="E55" s="975">
        <f>E25*EF_CO2_aardgas</f>
        <v>1321.5440286773744</v>
      </c>
      <c r="F55" s="975"/>
      <c r="G55" s="975"/>
      <c r="H55" s="975"/>
      <c r="I55" s="975"/>
      <c r="J55" s="975"/>
      <c r="K55" s="975"/>
      <c r="L55" s="975"/>
      <c r="M55" s="975"/>
      <c r="N55" s="975"/>
      <c r="O55" s="975"/>
      <c r="P55" s="975"/>
      <c r="Q55" s="976"/>
      <c r="R55" s="708">
        <f ca="1">SUM(C55:Q55)</f>
        <v>1840.9725961859415</v>
      </c>
    </row>
    <row r="56" spans="1:18" ht="15.75" thickBot="1">
      <c r="A56" s="805" t="s">
        <v>896</v>
      </c>
      <c r="B56" s="818"/>
      <c r="C56" s="709">
        <f ca="1">SUM(C54:C55)</f>
        <v>832.09234904898403</v>
      </c>
      <c r="D56" s="709">
        <f t="shared" ref="D56:Q56" ca="1" si="7">SUM(D54:D55)</f>
        <v>4645.8302521008409</v>
      </c>
      <c r="E56" s="709">
        <f t="shared" si="7"/>
        <v>1619.5110972880432</v>
      </c>
      <c r="F56" s="709">
        <f t="shared" si="7"/>
        <v>3.4411173182605346</v>
      </c>
      <c r="G56" s="709">
        <f t="shared" si="7"/>
        <v>1654.5013856512562</v>
      </c>
      <c r="H56" s="709">
        <f t="shared" si="7"/>
        <v>0</v>
      </c>
      <c r="I56" s="709">
        <f t="shared" si="7"/>
        <v>0</v>
      </c>
      <c r="J56" s="709">
        <f t="shared" si="7"/>
        <v>0</v>
      </c>
      <c r="K56" s="709">
        <f t="shared" si="7"/>
        <v>45.764984515566752</v>
      </c>
      <c r="L56" s="709">
        <f t="shared" si="7"/>
        <v>0</v>
      </c>
      <c r="M56" s="709">
        <f t="shared" si="7"/>
        <v>0</v>
      </c>
      <c r="N56" s="709">
        <f t="shared" si="7"/>
        <v>0</v>
      </c>
      <c r="O56" s="709">
        <f t="shared" si="7"/>
        <v>0</v>
      </c>
      <c r="P56" s="709">
        <f t="shared" si="7"/>
        <v>0</v>
      </c>
      <c r="Q56" s="710">
        <f t="shared" si="7"/>
        <v>0</v>
      </c>
      <c r="R56" s="711">
        <f ca="1">SUM(R54:R55)</f>
        <v>8801.141185922952</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53203.530496445979</v>
      </c>
      <c r="D61" s="717">
        <f t="shared" ref="D61:Q61" ca="1" si="8">D46+D52+D56</f>
        <v>4645.8302521008409</v>
      </c>
      <c r="E61" s="717">
        <f t="shared" ca="1" si="8"/>
        <v>54393.818089179833</v>
      </c>
      <c r="F61" s="717">
        <f t="shared" si="8"/>
        <v>1137.1236579711278</v>
      </c>
      <c r="G61" s="717">
        <f t="shared" ca="1" si="8"/>
        <v>27115.303337615685</v>
      </c>
      <c r="H61" s="717">
        <f t="shared" si="8"/>
        <v>48695.122631571037</v>
      </c>
      <c r="I61" s="717">
        <f t="shared" si="8"/>
        <v>7045.7798935375331</v>
      </c>
      <c r="J61" s="717">
        <f t="shared" si="8"/>
        <v>0</v>
      </c>
      <c r="K61" s="717">
        <f t="shared" si="8"/>
        <v>816.28568030401857</v>
      </c>
      <c r="L61" s="717">
        <f t="shared" si="8"/>
        <v>0</v>
      </c>
      <c r="M61" s="717">
        <f t="shared" ca="1" si="8"/>
        <v>0</v>
      </c>
      <c r="N61" s="717">
        <f t="shared" si="8"/>
        <v>0</v>
      </c>
      <c r="O61" s="717">
        <f t="shared" ca="1" si="8"/>
        <v>0</v>
      </c>
      <c r="P61" s="717">
        <f t="shared" si="8"/>
        <v>0</v>
      </c>
      <c r="Q61" s="717">
        <f t="shared" si="8"/>
        <v>0</v>
      </c>
      <c r="R61" s="717">
        <f ca="1">R46+R52+R56</f>
        <v>197052.79403872608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0.21599443696767262</v>
      </c>
      <c r="D63" s="761">
        <f t="shared" ca="1" si="9"/>
        <v>0.23764705882352943</v>
      </c>
      <c r="E63" s="977">
        <f t="shared" ca="1" si="9"/>
        <v>0.20200000000000004</v>
      </c>
      <c r="F63" s="761">
        <f t="shared" si="9"/>
        <v>0.22699999999999998</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5268.8275218966373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13684.5</v>
      </c>
      <c r="D76" s="987">
        <f>'lokale energieproductie'!C8</f>
        <v>16099.411764705883</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3252.0811764705886</v>
      </c>
      <c r="R76" s="834">
        <v>0</v>
      </c>
    </row>
    <row r="77" spans="1:18" ht="30.75" thickBot="1">
      <c r="A77" s="730" t="s">
        <v>346</v>
      </c>
      <c r="B77" s="727">
        <f>'lokale energieproductie'!B9*IFERROR(SUM(I77:O77)/SUM(D77:O77),0)</f>
        <v>1341</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3831.4285714285716</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6609.8275218966373</v>
      </c>
      <c r="C78" s="732">
        <f>SUM(C72:C77)</f>
        <v>13684.5</v>
      </c>
      <c r="D78" s="733">
        <f t="shared" ref="D78:H78" si="10">SUM(D76:D77)</f>
        <v>16099.411764705883</v>
      </c>
      <c r="E78" s="733">
        <f t="shared" si="10"/>
        <v>0</v>
      </c>
      <c r="F78" s="733">
        <f t="shared" si="10"/>
        <v>0</v>
      </c>
      <c r="G78" s="733">
        <f t="shared" si="10"/>
        <v>0</v>
      </c>
      <c r="H78" s="733">
        <f t="shared" si="10"/>
        <v>0</v>
      </c>
      <c r="I78" s="733">
        <f>SUM(I76:I77)</f>
        <v>0</v>
      </c>
      <c r="J78" s="733">
        <f>SUM(J76:J77)</f>
        <v>3831.4285714285716</v>
      </c>
      <c r="K78" s="733">
        <f t="shared" ref="K78:L78" si="11">SUM(K76:K77)</f>
        <v>0</v>
      </c>
      <c r="L78" s="733">
        <f t="shared" si="11"/>
        <v>0</v>
      </c>
      <c r="M78" s="733">
        <f>SUM(M76:M77)</f>
        <v>0</v>
      </c>
      <c r="N78" s="733">
        <f>SUM(N76:N77)</f>
        <v>0</v>
      </c>
      <c r="O78" s="842">
        <f>SUM(O76:O77)</f>
        <v>0</v>
      </c>
      <c r="P78" s="734">
        <v>0</v>
      </c>
      <c r="Q78" s="734">
        <f>SUM(Q76:Q77)</f>
        <v>3252.0811764705886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19549.285714285714</v>
      </c>
      <c r="D87" s="754">
        <f>'lokale energieproductie'!C17</f>
        <v>22999.159663865546</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4645.8302521008409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19549.285714285714</v>
      </c>
      <c r="D90" s="732">
        <f t="shared" ref="D90:H90" si="12">SUM(D87:D89)</f>
        <v>22999.159663865546</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4645.8302521008409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44280.901553599499</v>
      </c>
      <c r="C4" s="449">
        <f>huishoudens!C8</f>
        <v>0</v>
      </c>
      <c r="D4" s="449">
        <f>huishoudens!D8</f>
        <v>131040.20254905854</v>
      </c>
      <c r="E4" s="449">
        <f>huishoudens!E8</f>
        <v>1509.7848257973733</v>
      </c>
      <c r="F4" s="449">
        <f>huishoudens!F8</f>
        <v>51535.592577275238</v>
      </c>
      <c r="G4" s="449">
        <f>huishoudens!G8</f>
        <v>0</v>
      </c>
      <c r="H4" s="449">
        <f>huishoudens!H8</f>
        <v>0</v>
      </c>
      <c r="I4" s="449">
        <f>huishoudens!I8</f>
        <v>0</v>
      </c>
      <c r="J4" s="449">
        <f>huishoudens!J8</f>
        <v>1160.4508873129098</v>
      </c>
      <c r="K4" s="449">
        <f>huishoudens!K8</f>
        <v>0</v>
      </c>
      <c r="L4" s="449">
        <f>huishoudens!L8</f>
        <v>0</v>
      </c>
      <c r="M4" s="449">
        <f>huishoudens!M8</f>
        <v>0</v>
      </c>
      <c r="N4" s="449">
        <f>huishoudens!N8</f>
        <v>13536.192001898567</v>
      </c>
      <c r="O4" s="449">
        <f>huishoudens!O8</f>
        <v>223.55666666666667</v>
      </c>
      <c r="P4" s="450">
        <f>huishoudens!P8</f>
        <v>400.4</v>
      </c>
      <c r="Q4" s="451">
        <f>SUM(B4:P4)</f>
        <v>243687.0810616088</v>
      </c>
    </row>
    <row r="5" spans="1:17">
      <c r="A5" s="448" t="s">
        <v>155</v>
      </c>
      <c r="B5" s="449">
        <f ca="1">tertiair!B16</f>
        <v>68400.597372056218</v>
      </c>
      <c r="C5" s="449">
        <f ca="1">tertiair!C16</f>
        <v>0</v>
      </c>
      <c r="D5" s="449">
        <f ca="1">tertiair!D16</f>
        <v>62852.084698773084</v>
      </c>
      <c r="E5" s="449">
        <f>tertiair!E16</f>
        <v>1299.1944577881334</v>
      </c>
      <c r="F5" s="449">
        <f ca="1">tertiair!F16</f>
        <v>12538.066766665985</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0</v>
      </c>
      <c r="P5" s="450">
        <f>tertiair!P16</f>
        <v>133.46666666666667</v>
      </c>
      <c r="Q5" s="448">
        <f t="shared" ref="Q5:Q14" ca="1" si="0">SUM(B5:P5)</f>
        <v>145223.40996195009</v>
      </c>
    </row>
    <row r="6" spans="1:17">
      <c r="A6" s="448" t="s">
        <v>193</v>
      </c>
      <c r="B6" s="449">
        <f>'openbare verlichting'!B8</f>
        <v>1388.5609999999999</v>
      </c>
      <c r="C6" s="449"/>
      <c r="D6" s="449"/>
      <c r="E6" s="449"/>
      <c r="F6" s="449"/>
      <c r="G6" s="449"/>
      <c r="H6" s="449"/>
      <c r="I6" s="449"/>
      <c r="J6" s="449"/>
      <c r="K6" s="449"/>
      <c r="L6" s="449"/>
      <c r="M6" s="449"/>
      <c r="N6" s="449"/>
      <c r="O6" s="449"/>
      <c r="P6" s="450"/>
      <c r="Q6" s="448">
        <f t="shared" si="0"/>
        <v>1388.5609999999999</v>
      </c>
    </row>
    <row r="7" spans="1:17">
      <c r="A7" s="448" t="s">
        <v>111</v>
      </c>
      <c r="B7" s="449">
        <f>landbouw!B8</f>
        <v>1447.5547885856549</v>
      </c>
      <c r="C7" s="449">
        <f>landbouw!C8</f>
        <v>19549.285714285714</v>
      </c>
      <c r="D7" s="449">
        <f>landbouw!D8</f>
        <v>1475.0844980726179</v>
      </c>
      <c r="E7" s="449">
        <f>landbouw!E8</f>
        <v>15.159107128901033</v>
      </c>
      <c r="F7" s="449">
        <f>landbouw!F8</f>
        <v>6196.6344031882254</v>
      </c>
      <c r="G7" s="449">
        <f>landbouw!G8</f>
        <v>0</v>
      </c>
      <c r="H7" s="449">
        <f>landbouw!H8</f>
        <v>0</v>
      </c>
      <c r="I7" s="449">
        <f>landbouw!I8</f>
        <v>0</v>
      </c>
      <c r="J7" s="449">
        <f>landbouw!J8</f>
        <v>129.27961727561231</v>
      </c>
      <c r="K7" s="449">
        <f>landbouw!K8</f>
        <v>0</v>
      </c>
      <c r="L7" s="449">
        <f>landbouw!L8</f>
        <v>0</v>
      </c>
      <c r="M7" s="449">
        <f>landbouw!M8</f>
        <v>0</v>
      </c>
      <c r="N7" s="449">
        <f>landbouw!N8</f>
        <v>0</v>
      </c>
      <c r="O7" s="449">
        <f>landbouw!O8</f>
        <v>0</v>
      </c>
      <c r="P7" s="450">
        <f>landbouw!P8</f>
        <v>0</v>
      </c>
      <c r="Q7" s="448">
        <f t="shared" si="0"/>
        <v>28812.998128536725</v>
      </c>
    </row>
    <row r="8" spans="1:17">
      <c r="A8" s="448" t="s">
        <v>643</v>
      </c>
      <c r="B8" s="449">
        <f>industrie!B18</f>
        <v>128382.36116887722</v>
      </c>
      <c r="C8" s="449">
        <f>industrie!C18</f>
        <v>0</v>
      </c>
      <c r="D8" s="449">
        <f>industrie!D18</f>
        <v>67358.239803378674</v>
      </c>
      <c r="E8" s="449">
        <f>industrie!E18</f>
        <v>1252.9493345559506</v>
      </c>
      <c r="F8" s="449">
        <f>industrie!F18</f>
        <v>31285.149464914324</v>
      </c>
      <c r="G8" s="449">
        <f>industrie!G18</f>
        <v>0</v>
      </c>
      <c r="H8" s="449">
        <f>industrie!H18</f>
        <v>0</v>
      </c>
      <c r="I8" s="449">
        <f>industrie!I18</f>
        <v>0</v>
      </c>
      <c r="J8" s="449">
        <f>industrie!J18</f>
        <v>1016.1612476827167</v>
      </c>
      <c r="K8" s="449">
        <f>industrie!K18</f>
        <v>0</v>
      </c>
      <c r="L8" s="449">
        <f>industrie!L18</f>
        <v>0</v>
      </c>
      <c r="M8" s="449">
        <f>industrie!M18</f>
        <v>0</v>
      </c>
      <c r="N8" s="449">
        <f>industrie!N18</f>
        <v>2724.9874961029909</v>
      </c>
      <c r="O8" s="449">
        <f>industrie!O18</f>
        <v>0</v>
      </c>
      <c r="P8" s="450">
        <f>industrie!P18</f>
        <v>0</v>
      </c>
      <c r="Q8" s="448">
        <f t="shared" si="0"/>
        <v>232019.84851551187</v>
      </c>
    </row>
    <row r="9" spans="1:17" s="454" customFormat="1">
      <c r="A9" s="452" t="s">
        <v>562</v>
      </c>
      <c r="B9" s="453">
        <f>transport!B14</f>
        <v>2.5697678513609774</v>
      </c>
      <c r="C9" s="453">
        <f>transport!C14</f>
        <v>0</v>
      </c>
      <c r="D9" s="453">
        <f>transport!D14</f>
        <v>8.418453204475103</v>
      </c>
      <c r="E9" s="453">
        <f>transport!E14</f>
        <v>932.26759618835524</v>
      </c>
      <c r="F9" s="453">
        <f>transport!F14</f>
        <v>0</v>
      </c>
      <c r="G9" s="453">
        <f>transport!G14</f>
        <v>179858.84754998304</v>
      </c>
      <c r="H9" s="453">
        <f>transport!H14</f>
        <v>28296.304793323427</v>
      </c>
      <c r="I9" s="453">
        <f>transport!I14</f>
        <v>0</v>
      </c>
      <c r="J9" s="453">
        <f>transport!J14</f>
        <v>0</v>
      </c>
      <c r="K9" s="453">
        <f>transport!K14</f>
        <v>0</v>
      </c>
      <c r="L9" s="453">
        <f>transport!L14</f>
        <v>0</v>
      </c>
      <c r="M9" s="453">
        <f>transport!M14</f>
        <v>9050.5102052446746</v>
      </c>
      <c r="N9" s="453">
        <f>transport!N14</f>
        <v>0</v>
      </c>
      <c r="O9" s="453">
        <f>transport!O14</f>
        <v>0</v>
      </c>
      <c r="P9" s="453">
        <f>transport!P14</f>
        <v>0</v>
      </c>
      <c r="Q9" s="452">
        <f>SUM(B9:P9)</f>
        <v>218148.91836579531</v>
      </c>
    </row>
    <row r="10" spans="1:17">
      <c r="A10" s="448" t="s">
        <v>552</v>
      </c>
      <c r="B10" s="449">
        <f>transport!B54</f>
        <v>11.615605055902302</v>
      </c>
      <c r="C10" s="449">
        <f>transport!C54</f>
        <v>0</v>
      </c>
      <c r="D10" s="449">
        <f>transport!D54</f>
        <v>0</v>
      </c>
      <c r="E10" s="449">
        <f>transport!E54</f>
        <v>0</v>
      </c>
      <c r="F10" s="449">
        <f>transport!F54</f>
        <v>0</v>
      </c>
      <c r="G10" s="449">
        <f>transport!G54</f>
        <v>2519.8888978485443</v>
      </c>
      <c r="H10" s="449">
        <f>transport!H54</f>
        <v>0</v>
      </c>
      <c r="I10" s="449">
        <f>transport!I54</f>
        <v>0</v>
      </c>
      <c r="J10" s="449">
        <f>transport!J54</f>
        <v>0</v>
      </c>
      <c r="K10" s="449">
        <f>transport!K54</f>
        <v>0</v>
      </c>
      <c r="L10" s="449">
        <f>transport!L54</f>
        <v>0</v>
      </c>
      <c r="M10" s="449">
        <f>transport!M54</f>
        <v>107.89196308509584</v>
      </c>
      <c r="N10" s="449">
        <f>transport!N54</f>
        <v>0</v>
      </c>
      <c r="O10" s="449">
        <f>transport!O54</f>
        <v>0</v>
      </c>
      <c r="P10" s="450">
        <f>transport!P54</f>
        <v>0</v>
      </c>
      <c r="Q10" s="448">
        <f t="shared" si="0"/>
        <v>2639.3964659895428</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2404.8238223205199</v>
      </c>
      <c r="C14" s="456"/>
      <c r="D14" s="456">
        <f>'SEAP template'!E25</f>
        <v>6542.2971716701695</v>
      </c>
      <c r="E14" s="456"/>
      <c r="F14" s="456"/>
      <c r="G14" s="456"/>
      <c r="H14" s="456"/>
      <c r="I14" s="456"/>
      <c r="J14" s="456"/>
      <c r="K14" s="456"/>
      <c r="L14" s="456"/>
      <c r="M14" s="456"/>
      <c r="N14" s="456"/>
      <c r="O14" s="456"/>
      <c r="P14" s="457"/>
      <c r="Q14" s="448">
        <f t="shared" si="0"/>
        <v>8947.1209939906894</v>
      </c>
    </row>
    <row r="15" spans="1:17" s="461" customFormat="1">
      <c r="A15" s="458" t="s">
        <v>556</v>
      </c>
      <c r="B15" s="459">
        <f ca="1">SUM(B4:B14)</f>
        <v>246318.98507834636</v>
      </c>
      <c r="C15" s="459">
        <f t="shared" ref="C15:Q15" ca="1" si="1">SUM(C4:C14)</f>
        <v>19549.285714285714</v>
      </c>
      <c r="D15" s="459">
        <f t="shared" ca="1" si="1"/>
        <v>269276.3271741576</v>
      </c>
      <c r="E15" s="459">
        <f t="shared" si="1"/>
        <v>5009.3553214587137</v>
      </c>
      <c r="F15" s="459">
        <f t="shared" ca="1" si="1"/>
        <v>101555.44321204377</v>
      </c>
      <c r="G15" s="459">
        <f t="shared" si="1"/>
        <v>182378.73644783159</v>
      </c>
      <c r="H15" s="459">
        <f t="shared" si="1"/>
        <v>28296.304793323427</v>
      </c>
      <c r="I15" s="459">
        <f t="shared" si="1"/>
        <v>0</v>
      </c>
      <c r="J15" s="459">
        <f t="shared" si="1"/>
        <v>2305.8917522712391</v>
      </c>
      <c r="K15" s="459">
        <f t="shared" si="1"/>
        <v>0</v>
      </c>
      <c r="L15" s="459">
        <f t="shared" ca="1" si="1"/>
        <v>0</v>
      </c>
      <c r="M15" s="459">
        <f t="shared" si="1"/>
        <v>9158.4021683297706</v>
      </c>
      <c r="N15" s="459">
        <f t="shared" ca="1" si="1"/>
        <v>16261.179498001558</v>
      </c>
      <c r="O15" s="459">
        <f t="shared" si="1"/>
        <v>223.55666666666667</v>
      </c>
      <c r="P15" s="459">
        <f t="shared" si="1"/>
        <v>533.86666666666667</v>
      </c>
      <c r="Q15" s="459">
        <f t="shared" ca="1" si="1"/>
        <v>880867.33449338295</v>
      </c>
    </row>
    <row r="17" spans="1:17">
      <c r="A17" s="462" t="s">
        <v>557</v>
      </c>
      <c r="B17" s="766">
        <f ca="1">huishoudens!B10</f>
        <v>0.21599443696767262</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9564.4283994906637</v>
      </c>
      <c r="C22" s="449">
        <f t="shared" ref="C22:C32" ca="1" si="3">C4*$C$17</f>
        <v>0</v>
      </c>
      <c r="D22" s="449">
        <f t="shared" ref="D22:D32" si="4">D4*$D$17</f>
        <v>26470.120914909825</v>
      </c>
      <c r="E22" s="449">
        <f t="shared" ref="E22:E32" si="5">E4*$E$17</f>
        <v>342.72115545600377</v>
      </c>
      <c r="F22" s="449">
        <f t="shared" ref="F22:F32" si="6">F4*$F$17</f>
        <v>13760.00321813249</v>
      </c>
      <c r="G22" s="449">
        <f t="shared" ref="G22:G32" si="7">G4*$G$17</f>
        <v>0</v>
      </c>
      <c r="H22" s="449">
        <f t="shared" ref="H22:H32" si="8">H4*$H$17</f>
        <v>0</v>
      </c>
      <c r="I22" s="449">
        <f t="shared" ref="I22:I32" si="9">I4*$I$17</f>
        <v>0</v>
      </c>
      <c r="J22" s="449">
        <f t="shared" ref="J22:J32" si="10">J4*$J$17</f>
        <v>410.79961410877007</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50548.073302097757</v>
      </c>
    </row>
    <row r="23" spans="1:17">
      <c r="A23" s="448" t="s">
        <v>155</v>
      </c>
      <c r="B23" s="449">
        <f t="shared" ca="1" si="2"/>
        <v>14774.14851762975</v>
      </c>
      <c r="C23" s="449">
        <f t="shared" ca="1" si="3"/>
        <v>0</v>
      </c>
      <c r="D23" s="449">
        <f t="shared" ca="1" si="4"/>
        <v>12696.121109152164</v>
      </c>
      <c r="E23" s="449">
        <f t="shared" si="5"/>
        <v>294.91714191790629</v>
      </c>
      <c r="F23" s="449">
        <f t="shared" ca="1" si="6"/>
        <v>3347.6638266998179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31112.850595399635</v>
      </c>
    </row>
    <row r="24" spans="1:17">
      <c r="A24" s="448" t="s">
        <v>193</v>
      </c>
      <c r="B24" s="449">
        <f t="shared" ca="1" si="2"/>
        <v>299.92145139026843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299.92145139026843</v>
      </c>
    </row>
    <row r="25" spans="1:17">
      <c r="A25" s="448" t="s">
        <v>111</v>
      </c>
      <c r="B25" s="449">
        <f t="shared" ca="1" si="2"/>
        <v>312.66378154041689</v>
      </c>
      <c r="C25" s="449">
        <f t="shared" ca="1" si="3"/>
        <v>4645.8302521008409</v>
      </c>
      <c r="D25" s="449">
        <f t="shared" si="4"/>
        <v>297.96706861066883</v>
      </c>
      <c r="E25" s="449">
        <f t="shared" si="5"/>
        <v>3.4411173182605346</v>
      </c>
      <c r="F25" s="449">
        <f t="shared" si="6"/>
        <v>1654.5013856512562</v>
      </c>
      <c r="G25" s="449">
        <f t="shared" si="7"/>
        <v>0</v>
      </c>
      <c r="H25" s="449">
        <f t="shared" si="8"/>
        <v>0</v>
      </c>
      <c r="I25" s="449">
        <f t="shared" si="9"/>
        <v>0</v>
      </c>
      <c r="J25" s="449">
        <f t="shared" si="10"/>
        <v>45.764984515566752</v>
      </c>
      <c r="K25" s="449">
        <f t="shared" si="11"/>
        <v>0</v>
      </c>
      <c r="L25" s="449">
        <f t="shared" si="12"/>
        <v>0</v>
      </c>
      <c r="M25" s="449">
        <f t="shared" si="13"/>
        <v>0</v>
      </c>
      <c r="N25" s="449">
        <f t="shared" si="14"/>
        <v>0</v>
      </c>
      <c r="O25" s="449">
        <f t="shared" si="15"/>
        <v>0</v>
      </c>
      <c r="P25" s="450">
        <f t="shared" si="16"/>
        <v>0</v>
      </c>
      <c r="Q25" s="448">
        <f t="shared" ca="1" si="17"/>
        <v>6960.1685897370098</v>
      </c>
    </row>
    <row r="26" spans="1:17">
      <c r="A26" s="448" t="s">
        <v>643</v>
      </c>
      <c r="B26" s="449">
        <f t="shared" ca="1" si="2"/>
        <v>27729.875817252032</v>
      </c>
      <c r="C26" s="449">
        <f t="shared" ca="1" si="3"/>
        <v>0</v>
      </c>
      <c r="D26" s="449">
        <f t="shared" si="4"/>
        <v>13606.364440282494</v>
      </c>
      <c r="E26" s="449">
        <f t="shared" si="5"/>
        <v>284.41949894420077</v>
      </c>
      <c r="F26" s="449">
        <f t="shared" si="6"/>
        <v>8353.1349071321256</v>
      </c>
      <c r="G26" s="449">
        <f t="shared" si="7"/>
        <v>0</v>
      </c>
      <c r="H26" s="449">
        <f t="shared" si="8"/>
        <v>0</v>
      </c>
      <c r="I26" s="449">
        <f t="shared" si="9"/>
        <v>0</v>
      </c>
      <c r="J26" s="449">
        <f t="shared" si="10"/>
        <v>359.72108167968173</v>
      </c>
      <c r="K26" s="449">
        <f t="shared" si="11"/>
        <v>0</v>
      </c>
      <c r="L26" s="449">
        <f t="shared" si="12"/>
        <v>0</v>
      </c>
      <c r="M26" s="449">
        <f t="shared" si="13"/>
        <v>0</v>
      </c>
      <c r="N26" s="449">
        <f t="shared" si="14"/>
        <v>0</v>
      </c>
      <c r="O26" s="449">
        <f t="shared" si="15"/>
        <v>0</v>
      </c>
      <c r="P26" s="450">
        <f t="shared" si="16"/>
        <v>0</v>
      </c>
      <c r="Q26" s="448">
        <f t="shared" ca="1" si="17"/>
        <v>50333.515745290533</v>
      </c>
    </row>
    <row r="27" spans="1:17" s="454" customFormat="1">
      <c r="A27" s="452" t="s">
        <v>562</v>
      </c>
      <c r="B27" s="760">
        <f t="shared" ca="1" si="2"/>
        <v>0.55505556019234015</v>
      </c>
      <c r="C27" s="453">
        <f t="shared" ca="1" si="3"/>
        <v>0</v>
      </c>
      <c r="D27" s="453">
        <f t="shared" si="4"/>
        <v>1.7005275473039709</v>
      </c>
      <c r="E27" s="453">
        <f t="shared" si="5"/>
        <v>211.62474433475666</v>
      </c>
      <c r="F27" s="453">
        <f t="shared" si="6"/>
        <v>0</v>
      </c>
      <c r="G27" s="453">
        <f t="shared" si="7"/>
        <v>48022.312295845477</v>
      </c>
      <c r="H27" s="453">
        <f t="shared" si="8"/>
        <v>7045.7798935375331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55281.972516825263</v>
      </c>
    </row>
    <row r="28" spans="1:17">
      <c r="A28" s="448" t="s">
        <v>552</v>
      </c>
      <c r="B28" s="449">
        <f t="shared" ca="1" si="2"/>
        <v>2.5089060740884692</v>
      </c>
      <c r="C28" s="449">
        <f t="shared" ca="1" si="3"/>
        <v>0</v>
      </c>
      <c r="D28" s="449">
        <f t="shared" si="4"/>
        <v>0</v>
      </c>
      <c r="E28" s="449">
        <f t="shared" si="5"/>
        <v>0</v>
      </c>
      <c r="F28" s="449">
        <f t="shared" si="6"/>
        <v>0</v>
      </c>
      <c r="G28" s="449">
        <f t="shared" si="7"/>
        <v>672.81033572556134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675.31924179964983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519.42856750856708</v>
      </c>
      <c r="C32" s="449">
        <f t="shared" ca="1" si="3"/>
        <v>0</v>
      </c>
      <c r="D32" s="449">
        <f t="shared" si="4"/>
        <v>1321.5440286773744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1840.9725961859415</v>
      </c>
    </row>
    <row r="33" spans="1:17" s="461" customFormat="1">
      <c r="A33" s="458" t="s">
        <v>556</v>
      </c>
      <c r="B33" s="459">
        <f ca="1">SUM(B22:B32)</f>
        <v>53203.530496445987</v>
      </c>
      <c r="C33" s="459">
        <f t="shared" ref="C33:Q33" ca="1" si="19">SUM(C22:C32)</f>
        <v>4645.8302521008409</v>
      </c>
      <c r="D33" s="459">
        <f t="shared" ca="1" si="19"/>
        <v>54393.818089179833</v>
      </c>
      <c r="E33" s="459">
        <f t="shared" si="19"/>
        <v>1137.1236579711281</v>
      </c>
      <c r="F33" s="459">
        <f t="shared" ca="1" si="19"/>
        <v>27115.303337615689</v>
      </c>
      <c r="G33" s="459">
        <f t="shared" si="19"/>
        <v>48695.122631571037</v>
      </c>
      <c r="H33" s="459">
        <f t="shared" si="19"/>
        <v>7045.7798935375331</v>
      </c>
      <c r="I33" s="459">
        <f t="shared" si="19"/>
        <v>0</v>
      </c>
      <c r="J33" s="459">
        <f t="shared" si="19"/>
        <v>816.28568030401857</v>
      </c>
      <c r="K33" s="459">
        <f t="shared" si="19"/>
        <v>0</v>
      </c>
      <c r="L33" s="459">
        <f t="shared" ca="1" si="19"/>
        <v>0</v>
      </c>
      <c r="M33" s="459">
        <f t="shared" si="19"/>
        <v>0</v>
      </c>
      <c r="N33" s="459">
        <f t="shared" ca="1" si="19"/>
        <v>0</v>
      </c>
      <c r="O33" s="459">
        <f t="shared" si="19"/>
        <v>0</v>
      </c>
      <c r="P33" s="459">
        <f t="shared" si="19"/>
        <v>0</v>
      </c>
      <c r="Q33" s="459">
        <f t="shared" ca="1" si="19"/>
        <v>197052.79403872605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5268.8275218966373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13684.5</v>
      </c>
      <c r="D8" s="1008">
        <f>'SEAP template'!D76</f>
        <v>16099.411764705883</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3252.0811764705886</v>
      </c>
    </row>
    <row r="9" spans="1:16">
      <c r="A9" s="1011" t="s">
        <v>908</v>
      </c>
      <c r="B9" s="1008">
        <f>'SEAP template'!B77</f>
        <v>1341</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3831.4285714285716</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6609.8275218966373</v>
      </c>
      <c r="C10" s="1012">
        <f>SUM(C4:C9)</f>
        <v>13684.5</v>
      </c>
      <c r="D10" s="1012">
        <f t="shared" ref="D10:H10" si="0">SUM(D8:D9)</f>
        <v>16099.411764705883</v>
      </c>
      <c r="E10" s="1012">
        <f t="shared" si="0"/>
        <v>0</v>
      </c>
      <c r="F10" s="1012">
        <f t="shared" si="0"/>
        <v>0</v>
      </c>
      <c r="G10" s="1012">
        <f t="shared" si="0"/>
        <v>0</v>
      </c>
      <c r="H10" s="1012">
        <f t="shared" si="0"/>
        <v>0</v>
      </c>
      <c r="I10" s="1012">
        <f>SUM(I8:I9)</f>
        <v>0</v>
      </c>
      <c r="J10" s="1012">
        <f>SUM(J8:J9)</f>
        <v>3831.4285714285716</v>
      </c>
      <c r="K10" s="1012">
        <f t="shared" ref="K10:L10" si="1">SUM(K8:K9)</f>
        <v>0</v>
      </c>
      <c r="L10" s="1012">
        <f t="shared" si="1"/>
        <v>0</v>
      </c>
      <c r="M10" s="1012">
        <f>SUM(M8:M9)</f>
        <v>0</v>
      </c>
      <c r="N10" s="1012">
        <f>SUM(N8:N9)</f>
        <v>0</v>
      </c>
      <c r="O10" s="1012">
        <f>SUM(O8:O9)</f>
        <v>0</v>
      </c>
      <c r="P10" s="1012">
        <f>SUM(P8:P9)</f>
        <v>3252.0811764705886</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0.21599443696767262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19549.285714285714</v>
      </c>
      <c r="D17" s="1009">
        <f>'SEAP template'!D87</f>
        <v>22999.159663865546</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4645.8302521008409</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19549.285714285714</v>
      </c>
      <c r="D20" s="1012">
        <f t="shared" ref="D20:H20" si="2">SUM(D17:D19)</f>
        <v>22999.159663865546</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4645.8302521008409</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0.21599443696767262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2</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3.1266666666666669</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2</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38.133333333333333</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0.21599443696767262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0.21599443696767262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11735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1486</v>
      </c>
      <c r="C14" s="326"/>
      <c r="D14" s="326"/>
      <c r="E14" s="326"/>
      <c r="F14" s="326"/>
    </row>
    <row r="15" spans="1:6">
      <c r="A15" s="1282" t="s">
        <v>183</v>
      </c>
      <c r="B15" s="1283">
        <v>1559</v>
      </c>
      <c r="C15" s="326"/>
      <c r="D15" s="326"/>
      <c r="E15" s="326"/>
      <c r="F15" s="326"/>
    </row>
    <row r="16" spans="1:6">
      <c r="A16" s="1282" t="s">
        <v>6</v>
      </c>
      <c r="B16" s="1283">
        <v>513</v>
      </c>
      <c r="C16" s="326"/>
      <c r="D16" s="326"/>
      <c r="E16" s="326"/>
      <c r="F16" s="326"/>
    </row>
    <row r="17" spans="1:6">
      <c r="A17" s="1282" t="s">
        <v>7</v>
      </c>
      <c r="B17" s="1283">
        <v>142</v>
      </c>
      <c r="C17" s="326"/>
      <c r="D17" s="326"/>
      <c r="E17" s="326"/>
      <c r="F17" s="326"/>
    </row>
    <row r="18" spans="1:6">
      <c r="A18" s="1282" t="s">
        <v>8</v>
      </c>
      <c r="B18" s="1283">
        <v>345</v>
      </c>
      <c r="C18" s="326"/>
      <c r="D18" s="326"/>
      <c r="E18" s="326"/>
      <c r="F18" s="326"/>
    </row>
    <row r="19" spans="1:6">
      <c r="A19" s="1282" t="s">
        <v>9</v>
      </c>
      <c r="B19" s="1283">
        <v>339</v>
      </c>
      <c r="C19" s="326"/>
      <c r="D19" s="326"/>
      <c r="E19" s="326"/>
      <c r="F19" s="326"/>
    </row>
    <row r="20" spans="1:6">
      <c r="A20" s="1282" t="s">
        <v>10</v>
      </c>
      <c r="B20" s="1283">
        <v>260</v>
      </c>
      <c r="C20" s="326"/>
      <c r="D20" s="326"/>
      <c r="E20" s="326"/>
      <c r="F20" s="326"/>
    </row>
    <row r="21" spans="1:6">
      <c r="A21" s="1282" t="s">
        <v>11</v>
      </c>
      <c r="B21" s="1283">
        <v>1447</v>
      </c>
      <c r="C21" s="326"/>
      <c r="D21" s="326"/>
      <c r="E21" s="326"/>
      <c r="F21" s="326"/>
    </row>
    <row r="22" spans="1:6">
      <c r="A22" s="1282" t="s">
        <v>12</v>
      </c>
      <c r="B22" s="1283">
        <v>6222</v>
      </c>
      <c r="C22" s="326"/>
      <c r="D22" s="326"/>
      <c r="E22" s="326"/>
      <c r="F22" s="326"/>
    </row>
    <row r="23" spans="1:6">
      <c r="A23" s="1282" t="s">
        <v>13</v>
      </c>
      <c r="B23" s="1283">
        <v>81</v>
      </c>
      <c r="C23" s="326"/>
      <c r="D23" s="326"/>
      <c r="E23" s="326"/>
      <c r="F23" s="326"/>
    </row>
    <row r="24" spans="1:6">
      <c r="A24" s="1282" t="s">
        <v>14</v>
      </c>
      <c r="B24" s="1283">
        <v>1</v>
      </c>
      <c r="C24" s="326"/>
      <c r="D24" s="326"/>
      <c r="E24" s="326"/>
      <c r="F24" s="326"/>
    </row>
    <row r="25" spans="1:6">
      <c r="A25" s="1282" t="s">
        <v>15</v>
      </c>
      <c r="B25" s="1283">
        <v>366</v>
      </c>
      <c r="C25" s="326"/>
      <c r="D25" s="326"/>
      <c r="E25" s="326"/>
      <c r="F25" s="326"/>
    </row>
    <row r="26" spans="1:6">
      <c r="A26" s="1282" t="s">
        <v>16</v>
      </c>
      <c r="B26" s="1283">
        <v>106</v>
      </c>
      <c r="C26" s="326"/>
      <c r="D26" s="326"/>
      <c r="E26" s="326"/>
      <c r="F26" s="326"/>
    </row>
    <row r="27" spans="1:6">
      <c r="A27" s="1282" t="s">
        <v>17</v>
      </c>
      <c r="B27" s="1283">
        <v>0</v>
      </c>
      <c r="C27" s="326"/>
      <c r="D27" s="326"/>
      <c r="E27" s="326"/>
      <c r="F27" s="326"/>
    </row>
    <row r="28" spans="1:6" s="43" customFormat="1">
      <c r="A28" s="1284" t="s">
        <v>18</v>
      </c>
      <c r="B28" s="1285">
        <v>147905</v>
      </c>
      <c r="C28" s="332"/>
      <c r="D28" s="332"/>
      <c r="E28" s="332"/>
      <c r="F28" s="332"/>
    </row>
    <row r="29" spans="1:6">
      <c r="A29" s="1284" t="s">
        <v>978</v>
      </c>
      <c r="B29" s="1285">
        <v>202</v>
      </c>
      <c r="C29" s="332"/>
      <c r="D29" s="332"/>
      <c r="E29" s="332"/>
      <c r="F29" s="332"/>
    </row>
    <row r="30" spans="1:6">
      <c r="A30" s="1277" t="s">
        <v>979</v>
      </c>
      <c r="B30" s="1286">
        <v>27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6</v>
      </c>
      <c r="F35" s="1283">
        <v>23377.472474489899</v>
      </c>
    </row>
    <row r="36" spans="1:6">
      <c r="A36" s="1282" t="s">
        <v>24</v>
      </c>
      <c r="B36" s="1282" t="s">
        <v>26</v>
      </c>
      <c r="C36" s="1283">
        <v>0</v>
      </c>
      <c r="D36" s="1283">
        <v>0</v>
      </c>
      <c r="E36" s="1283">
        <v>7</v>
      </c>
      <c r="F36" s="1283">
        <v>25533.618733822699</v>
      </c>
    </row>
    <row r="37" spans="1:6">
      <c r="A37" s="1282" t="s">
        <v>24</v>
      </c>
      <c r="B37" s="1282" t="s">
        <v>27</v>
      </c>
      <c r="C37" s="1283">
        <v>0</v>
      </c>
      <c r="D37" s="1283">
        <v>0</v>
      </c>
      <c r="E37" s="1283">
        <v>0</v>
      </c>
      <c r="F37" s="1283">
        <v>0</v>
      </c>
    </row>
    <row r="38" spans="1:6">
      <c r="A38" s="1282" t="s">
        <v>24</v>
      </c>
      <c r="B38" s="1282" t="s">
        <v>28</v>
      </c>
      <c r="C38" s="1283">
        <v>2</v>
      </c>
      <c r="D38" s="1283">
        <v>608085.28654707095</v>
      </c>
      <c r="E38" s="1283">
        <v>1</v>
      </c>
      <c r="F38" s="1283">
        <v>3021.5178547072001</v>
      </c>
    </row>
    <row r="39" spans="1:6">
      <c r="A39" s="1282" t="s">
        <v>29</v>
      </c>
      <c r="B39" s="1282" t="s">
        <v>30</v>
      </c>
      <c r="C39" s="1283">
        <v>9037</v>
      </c>
      <c r="D39" s="1283">
        <v>145037625.675782</v>
      </c>
      <c r="E39" s="1283">
        <v>11657</v>
      </c>
      <c r="F39" s="1283">
        <v>42168008.514729902</v>
      </c>
    </row>
    <row r="40" spans="1:6">
      <c r="A40" s="1282" t="s">
        <v>29</v>
      </c>
      <c r="B40" s="1282" t="s">
        <v>28</v>
      </c>
      <c r="C40" s="1283">
        <v>1</v>
      </c>
      <c r="D40" s="1283">
        <v>239760.74224299399</v>
      </c>
      <c r="E40" s="1283">
        <v>1</v>
      </c>
      <c r="F40" s="1283">
        <v>42590.493166598499</v>
      </c>
    </row>
    <row r="41" spans="1:6">
      <c r="A41" s="1282" t="s">
        <v>31</v>
      </c>
      <c r="B41" s="1282" t="s">
        <v>32</v>
      </c>
      <c r="C41" s="1283">
        <v>95</v>
      </c>
      <c r="D41" s="1283">
        <v>5015043.3648571</v>
      </c>
      <c r="E41" s="1283">
        <v>220</v>
      </c>
      <c r="F41" s="1283">
        <v>13047142.490833901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16</v>
      </c>
      <c r="D44" s="1283">
        <v>1721564.6971117901</v>
      </c>
      <c r="E44" s="1283">
        <v>21</v>
      </c>
      <c r="F44" s="1283">
        <v>18891123.940807</v>
      </c>
    </row>
    <row r="45" spans="1:6">
      <c r="A45" s="1282" t="s">
        <v>31</v>
      </c>
      <c r="B45" s="1282" t="s">
        <v>36</v>
      </c>
      <c r="C45" s="1283">
        <v>0</v>
      </c>
      <c r="D45" s="1283">
        <v>0</v>
      </c>
      <c r="E45" s="1283">
        <v>4</v>
      </c>
      <c r="F45" s="1283">
        <v>387482.33722518198</v>
      </c>
    </row>
    <row r="46" spans="1:6">
      <c r="A46" s="1282" t="s">
        <v>31</v>
      </c>
      <c r="B46" s="1282" t="s">
        <v>37</v>
      </c>
      <c r="C46" s="1283">
        <v>0</v>
      </c>
      <c r="D46" s="1283">
        <v>0</v>
      </c>
      <c r="E46" s="1283">
        <v>0</v>
      </c>
      <c r="F46" s="1283">
        <v>0</v>
      </c>
    </row>
    <row r="47" spans="1:6">
      <c r="A47" s="1282" t="s">
        <v>31</v>
      </c>
      <c r="B47" s="1282" t="s">
        <v>38</v>
      </c>
      <c r="C47" s="1283">
        <v>11</v>
      </c>
      <c r="D47" s="1283">
        <v>840882.69118904101</v>
      </c>
      <c r="E47" s="1283">
        <v>15</v>
      </c>
      <c r="F47" s="1283">
        <v>1136675.653006</v>
      </c>
    </row>
    <row r="48" spans="1:6">
      <c r="A48" s="1282" t="s">
        <v>31</v>
      </c>
      <c r="B48" s="1282" t="s">
        <v>28</v>
      </c>
      <c r="C48" s="1283">
        <v>37</v>
      </c>
      <c r="D48" s="1283">
        <v>38665355.447064802</v>
      </c>
      <c r="E48" s="1283">
        <v>59</v>
      </c>
      <c r="F48" s="1283">
        <v>88929310.083669007</v>
      </c>
    </row>
    <row r="49" spans="1:6">
      <c r="A49" s="1282" t="s">
        <v>31</v>
      </c>
      <c r="B49" s="1282" t="s">
        <v>39</v>
      </c>
      <c r="C49" s="1283">
        <v>0</v>
      </c>
      <c r="D49" s="1283">
        <v>0</v>
      </c>
      <c r="E49" s="1283">
        <v>3</v>
      </c>
      <c r="F49" s="1283">
        <v>108510.427244866</v>
      </c>
    </row>
    <row r="50" spans="1:6">
      <c r="A50" s="1282" t="s">
        <v>31</v>
      </c>
      <c r="B50" s="1282" t="s">
        <v>40</v>
      </c>
      <c r="C50" s="1283">
        <v>29</v>
      </c>
      <c r="D50" s="1283">
        <v>28433694.6017492</v>
      </c>
      <c r="E50" s="1283">
        <v>30</v>
      </c>
      <c r="F50" s="1283">
        <v>5882116.2360912496</v>
      </c>
    </row>
    <row r="51" spans="1:6">
      <c r="A51" s="1282" t="s">
        <v>41</v>
      </c>
      <c r="B51" s="1282" t="s">
        <v>42</v>
      </c>
      <c r="C51" s="1283">
        <v>0</v>
      </c>
      <c r="D51" s="1283">
        <v>0</v>
      </c>
      <c r="E51" s="1283">
        <v>77</v>
      </c>
      <c r="F51" s="1283">
        <v>1378123.8645536799</v>
      </c>
    </row>
    <row r="52" spans="1:6">
      <c r="A52" s="1282" t="s">
        <v>41</v>
      </c>
      <c r="B52" s="1282" t="s">
        <v>28</v>
      </c>
      <c r="C52" s="1283">
        <v>12</v>
      </c>
      <c r="D52" s="1283">
        <v>44981880.184749499</v>
      </c>
      <c r="E52" s="1283">
        <v>2</v>
      </c>
      <c r="F52" s="1283">
        <v>69430.924031975097</v>
      </c>
    </row>
    <row r="53" spans="1:6">
      <c r="A53" s="1282" t="s">
        <v>43</v>
      </c>
      <c r="B53" s="1282" t="s">
        <v>44</v>
      </c>
      <c r="C53" s="1283">
        <v>314</v>
      </c>
      <c r="D53" s="1283">
        <v>6542297.1716701696</v>
      </c>
      <c r="E53" s="1283">
        <v>508</v>
      </c>
      <c r="F53" s="1283">
        <v>2404823.8223205199</v>
      </c>
    </row>
    <row r="54" spans="1:6">
      <c r="A54" s="1282" t="s">
        <v>45</v>
      </c>
      <c r="B54" s="1282" t="s">
        <v>46</v>
      </c>
      <c r="C54" s="1283">
        <v>0</v>
      </c>
      <c r="D54" s="1283">
        <v>0</v>
      </c>
      <c r="E54" s="1283">
        <v>1</v>
      </c>
      <c r="F54" s="1283">
        <v>1388561</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55</v>
      </c>
      <c r="D57" s="1283">
        <v>9879484.5498885699</v>
      </c>
      <c r="E57" s="1283">
        <v>98</v>
      </c>
      <c r="F57" s="1283">
        <v>8596838.9811775796</v>
      </c>
    </row>
    <row r="58" spans="1:6">
      <c r="A58" s="1282" t="s">
        <v>48</v>
      </c>
      <c r="B58" s="1282" t="s">
        <v>50</v>
      </c>
      <c r="C58" s="1283">
        <v>53</v>
      </c>
      <c r="D58" s="1283">
        <v>7112475.3593282402</v>
      </c>
      <c r="E58" s="1283">
        <v>73</v>
      </c>
      <c r="F58" s="1283">
        <v>2004642.6449396501</v>
      </c>
    </row>
    <row r="59" spans="1:6">
      <c r="A59" s="1282" t="s">
        <v>48</v>
      </c>
      <c r="B59" s="1282" t="s">
        <v>51</v>
      </c>
      <c r="C59" s="1283">
        <v>269</v>
      </c>
      <c r="D59" s="1283">
        <v>18617374.545149099</v>
      </c>
      <c r="E59" s="1283">
        <v>486</v>
      </c>
      <c r="F59" s="1283">
        <v>23803852.204309098</v>
      </c>
    </row>
    <row r="60" spans="1:6">
      <c r="A60" s="1282" t="s">
        <v>48</v>
      </c>
      <c r="B60" s="1282" t="s">
        <v>52</v>
      </c>
      <c r="C60" s="1283">
        <v>99</v>
      </c>
      <c r="D60" s="1283">
        <v>4850786.0718255304</v>
      </c>
      <c r="E60" s="1283">
        <v>127</v>
      </c>
      <c r="F60" s="1283">
        <v>3816016.8572436199</v>
      </c>
    </row>
    <row r="61" spans="1:6">
      <c r="A61" s="1282" t="s">
        <v>48</v>
      </c>
      <c r="B61" s="1282" t="s">
        <v>53</v>
      </c>
      <c r="C61" s="1283">
        <v>302</v>
      </c>
      <c r="D61" s="1283">
        <v>17278829.312869601</v>
      </c>
      <c r="E61" s="1283">
        <v>664</v>
      </c>
      <c r="F61" s="1283">
        <v>23787159.020275202</v>
      </c>
    </row>
    <row r="62" spans="1:6">
      <c r="A62" s="1282" t="s">
        <v>48</v>
      </c>
      <c r="B62" s="1282" t="s">
        <v>54</v>
      </c>
      <c r="C62" s="1283">
        <v>32</v>
      </c>
      <c r="D62" s="1283">
        <v>5676594.7852242896</v>
      </c>
      <c r="E62" s="1283">
        <v>26</v>
      </c>
      <c r="F62" s="1283">
        <v>1571125.4124024301</v>
      </c>
    </row>
    <row r="63" spans="1:6">
      <c r="A63" s="1282" t="s">
        <v>48</v>
      </c>
      <c r="B63" s="1282" t="s">
        <v>28</v>
      </c>
      <c r="C63" s="1283">
        <v>94</v>
      </c>
      <c r="D63" s="1283">
        <v>6265258.8111615498</v>
      </c>
      <c r="E63" s="1283">
        <v>113</v>
      </c>
      <c r="F63" s="1283">
        <v>3479962.2517086398</v>
      </c>
    </row>
    <row r="64" spans="1:6">
      <c r="A64" s="1282" t="s">
        <v>55</v>
      </c>
      <c r="B64" s="1282" t="s">
        <v>56</v>
      </c>
      <c r="C64" s="1283">
        <v>0</v>
      </c>
      <c r="D64" s="1283">
        <v>0</v>
      </c>
      <c r="E64" s="1283">
        <v>0</v>
      </c>
      <c r="F64" s="1283">
        <v>0</v>
      </c>
    </row>
    <row r="65" spans="1:6">
      <c r="A65" s="1282" t="s">
        <v>55</v>
      </c>
      <c r="B65" s="1282" t="s">
        <v>28</v>
      </c>
      <c r="C65" s="1283">
        <v>1</v>
      </c>
      <c r="D65" s="1283">
        <v>30516.614359630501</v>
      </c>
      <c r="E65" s="1283">
        <v>3</v>
      </c>
      <c r="F65" s="1283">
        <v>74749.523896841507</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7</v>
      </c>
      <c r="D68" s="1286">
        <v>322015.18917599902</v>
      </c>
      <c r="E68" s="1286">
        <v>23</v>
      </c>
      <c r="F68" s="1286">
        <v>575678.87248125905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115709972</v>
      </c>
      <c r="E73" s="447"/>
      <c r="F73" s="326"/>
    </row>
    <row r="74" spans="1:6">
      <c r="A74" s="1282" t="s">
        <v>63</v>
      </c>
      <c r="B74" s="1282" t="s">
        <v>760</v>
      </c>
      <c r="C74" s="1296" t="s">
        <v>761</v>
      </c>
      <c r="D74" s="1297">
        <v>7684451.1474169111</v>
      </c>
      <c r="E74" s="447"/>
      <c r="F74" s="326"/>
    </row>
    <row r="75" spans="1:6">
      <c r="A75" s="1282" t="s">
        <v>64</v>
      </c>
      <c r="B75" s="1282" t="s">
        <v>758</v>
      </c>
      <c r="C75" s="1296" t="s">
        <v>762</v>
      </c>
      <c r="D75" s="1297">
        <v>31674035</v>
      </c>
      <c r="E75" s="447"/>
      <c r="F75" s="326"/>
    </row>
    <row r="76" spans="1:6">
      <c r="A76" s="1282" t="s">
        <v>64</v>
      </c>
      <c r="B76" s="1282" t="s">
        <v>760</v>
      </c>
      <c r="C76" s="1296" t="s">
        <v>763</v>
      </c>
      <c r="D76" s="1297">
        <v>1452234.1474169116</v>
      </c>
      <c r="E76" s="447"/>
      <c r="F76" s="326"/>
    </row>
    <row r="77" spans="1:6">
      <c r="A77" s="1282" t="s">
        <v>65</v>
      </c>
      <c r="B77" s="1282" t="s">
        <v>758</v>
      </c>
      <c r="C77" s="1296" t="s">
        <v>764</v>
      </c>
      <c r="D77" s="1297">
        <v>83534566</v>
      </c>
      <c r="E77" s="447"/>
      <c r="F77" s="326"/>
    </row>
    <row r="78" spans="1:6">
      <c r="A78" s="1277" t="s">
        <v>65</v>
      </c>
      <c r="B78" s="1277" t="s">
        <v>760</v>
      </c>
      <c r="C78" s="1277" t="s">
        <v>765</v>
      </c>
      <c r="D78" s="1298">
        <v>13748595</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691133.70516617713</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2070.3025457030039</v>
      </c>
      <c r="C91" s="326"/>
      <c r="D91" s="326"/>
      <c r="E91" s="326"/>
      <c r="F91" s="326"/>
    </row>
    <row r="92" spans="1:6">
      <c r="A92" s="1277" t="s">
        <v>68</v>
      </c>
      <c r="B92" s="1278">
        <v>3198.5249761936338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6292</v>
      </c>
      <c r="C97" s="326"/>
      <c r="D97" s="326"/>
      <c r="E97" s="326"/>
      <c r="F97" s="326"/>
    </row>
    <row r="98" spans="1:6">
      <c r="A98" s="1282" t="s">
        <v>71</v>
      </c>
      <c r="B98" s="1283">
        <v>7</v>
      </c>
      <c r="C98" s="326"/>
      <c r="D98" s="326"/>
      <c r="E98" s="326"/>
      <c r="F98" s="326"/>
    </row>
    <row r="99" spans="1:6">
      <c r="A99" s="1282" t="s">
        <v>72</v>
      </c>
      <c r="B99" s="1283">
        <v>107</v>
      </c>
      <c r="C99" s="326"/>
      <c r="D99" s="326"/>
      <c r="E99" s="326"/>
      <c r="F99" s="326"/>
    </row>
    <row r="100" spans="1:6">
      <c r="A100" s="1282" t="s">
        <v>73</v>
      </c>
      <c r="B100" s="1283">
        <v>383</v>
      </c>
      <c r="C100" s="326"/>
      <c r="D100" s="326"/>
      <c r="E100" s="326"/>
      <c r="F100" s="326"/>
    </row>
    <row r="101" spans="1:6">
      <c r="A101" s="1282" t="s">
        <v>74</v>
      </c>
      <c r="B101" s="1283">
        <v>115</v>
      </c>
      <c r="C101" s="326"/>
      <c r="D101" s="326"/>
      <c r="E101" s="326"/>
      <c r="F101" s="326"/>
    </row>
    <row r="102" spans="1:6">
      <c r="A102" s="1282" t="s">
        <v>75</v>
      </c>
      <c r="B102" s="1283">
        <v>106</v>
      </c>
      <c r="C102" s="326"/>
      <c r="D102" s="326"/>
      <c r="E102" s="326"/>
      <c r="F102" s="326"/>
    </row>
    <row r="103" spans="1:6">
      <c r="A103" s="1282" t="s">
        <v>76</v>
      </c>
      <c r="B103" s="1283">
        <v>207</v>
      </c>
      <c r="C103" s="326"/>
      <c r="D103" s="326"/>
      <c r="E103" s="326"/>
      <c r="F103" s="326"/>
    </row>
    <row r="104" spans="1:6">
      <c r="A104" s="1282" t="s">
        <v>77</v>
      </c>
      <c r="B104" s="1283">
        <v>2932</v>
      </c>
      <c r="C104" s="326"/>
      <c r="D104" s="326"/>
      <c r="E104" s="326"/>
      <c r="F104" s="326"/>
    </row>
    <row r="105" spans="1:6">
      <c r="A105" s="1277" t="s">
        <v>78</v>
      </c>
      <c r="B105" s="128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2</v>
      </c>
      <c r="C110" s="326"/>
      <c r="D110" s="326"/>
      <c r="E110" s="326"/>
      <c r="F110" s="326"/>
    </row>
    <row r="111" spans="1:6">
      <c r="A111" s="1303" t="s">
        <v>658</v>
      </c>
      <c r="B111" s="1304">
        <v>2</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10</v>
      </c>
      <c r="C123" s="1283">
        <v>18</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125</v>
      </c>
      <c r="C129" s="326"/>
      <c r="D129" s="326"/>
      <c r="E129" s="326"/>
      <c r="F129" s="326"/>
    </row>
    <row r="130" spans="1:6">
      <c r="A130" s="1282" t="s">
        <v>290</v>
      </c>
      <c r="B130" s="1283">
        <v>0</v>
      </c>
      <c r="C130" s="326"/>
      <c r="D130" s="326"/>
      <c r="E130" s="326"/>
      <c r="F130" s="326"/>
    </row>
    <row r="131" spans="1:6">
      <c r="A131" s="1282" t="s">
        <v>291</v>
      </c>
      <c r="B131" s="1283">
        <v>7</v>
      </c>
      <c r="C131" s="326"/>
      <c r="D131" s="326"/>
      <c r="E131" s="326"/>
      <c r="F131" s="326"/>
    </row>
    <row r="132" spans="1:6">
      <c r="A132" s="1277" t="s">
        <v>292</v>
      </c>
      <c r="B132" s="1278">
        <v>10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246318.98507834636</v>
      </c>
      <c r="C3" s="43" t="s">
        <v>169</v>
      </c>
      <c r="D3" s="43"/>
      <c r="E3" s="156"/>
      <c r="F3" s="43"/>
      <c r="G3" s="43"/>
      <c r="H3" s="43"/>
      <c r="I3" s="43"/>
      <c r="J3" s="43"/>
      <c r="K3" s="96"/>
    </row>
    <row r="4" spans="1:11">
      <c r="A4" s="354" t="s">
        <v>170</v>
      </c>
      <c r="B4" s="49">
        <f>IF(ISERROR('SEAP template'!B78+'SEAP template'!C78),0,'SEAP template'!B78+'SEAP template'!C78)</f>
        <v>20294.327521896637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3252.0811764705886</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0.21599443696767262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4645.8302521008409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19549.285714285714</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1388.5609999999999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1388.5609999999999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0.21599443696767262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299.92145139026843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42210.599007896497</v>
      </c>
      <c r="C5" s="17">
        <f>IF(ISERROR('Eigen informatie GS &amp; warmtenet'!B57),0,'Eigen informatie GS &amp; warmtenet'!B57)</f>
        <v>0</v>
      </c>
      <c r="D5" s="30">
        <f>(SUM(HH_hh_gas_kWh,HH_rest_gas_kWh)/1000)*0.902</f>
        <v>131040.20254905854</v>
      </c>
      <c r="E5" s="17">
        <f>B32*B41</f>
        <v>1509.7848257973733</v>
      </c>
      <c r="F5" s="17">
        <f>B36*B45</f>
        <v>51535.592577275238</v>
      </c>
      <c r="G5" s="18"/>
      <c r="H5" s="17"/>
      <c r="I5" s="17"/>
      <c r="J5" s="17">
        <f>B35*B44+C35*C44</f>
        <v>1160.4508873129098</v>
      </c>
      <c r="K5" s="17"/>
      <c r="L5" s="17"/>
      <c r="M5" s="17"/>
      <c r="N5" s="17">
        <f>B34*B43+C34*C43</f>
        <v>13536.192001898567</v>
      </c>
      <c r="O5" s="17">
        <f>B52*B53*B54</f>
        <v>223.55666666666667</v>
      </c>
      <c r="P5" s="17">
        <f>B60*B61*B62/1000-B60*B61*B62/1000/B63</f>
        <v>400.4</v>
      </c>
    </row>
    <row r="6" spans="1:16">
      <c r="A6" s="16" t="s">
        <v>621</v>
      </c>
      <c r="B6" s="768">
        <f>kWh_PV_kleiner_dan_10kW</f>
        <v>2070.3025457030039</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44280.901553599499</v>
      </c>
      <c r="C8" s="21">
        <f>C5</f>
        <v>0</v>
      </c>
      <c r="D8" s="21">
        <f>D5</f>
        <v>131040.20254905854</v>
      </c>
      <c r="E8" s="21">
        <f>E5</f>
        <v>1509.7848257973733</v>
      </c>
      <c r="F8" s="21">
        <f>F5</f>
        <v>51535.592577275238</v>
      </c>
      <c r="G8" s="21"/>
      <c r="H8" s="21"/>
      <c r="I8" s="21"/>
      <c r="J8" s="21">
        <f>J5</f>
        <v>1160.4508873129098</v>
      </c>
      <c r="K8" s="21"/>
      <c r="L8" s="21">
        <f>L5</f>
        <v>0</v>
      </c>
      <c r="M8" s="21">
        <f>M5</f>
        <v>0</v>
      </c>
      <c r="N8" s="21">
        <f>N5</f>
        <v>13536.192001898567</v>
      </c>
      <c r="O8" s="21">
        <f>O5</f>
        <v>223.55666666666667</v>
      </c>
      <c r="P8" s="21">
        <f>P5</f>
        <v>400.4</v>
      </c>
    </row>
    <row r="9" spans="1:16">
      <c r="B9" s="19"/>
      <c r="C9" s="19"/>
      <c r="D9" s="256"/>
      <c r="E9" s="19"/>
      <c r="F9" s="19"/>
      <c r="G9" s="19"/>
      <c r="H9" s="19"/>
      <c r="I9" s="19"/>
      <c r="J9" s="19"/>
      <c r="K9" s="19"/>
      <c r="L9" s="19"/>
      <c r="M9" s="19"/>
      <c r="N9" s="19"/>
      <c r="O9" s="19"/>
      <c r="P9" s="19"/>
    </row>
    <row r="10" spans="1:16">
      <c r="A10" s="24" t="s">
        <v>213</v>
      </c>
      <c r="B10" s="25">
        <f ca="1">'EF ele_warmte'!B12</f>
        <v>0.21599443696767262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9564.4283994906637</v>
      </c>
      <c r="C12" s="23">
        <f ca="1">C10*C8</f>
        <v>0</v>
      </c>
      <c r="D12" s="23">
        <f>D8*D10</f>
        <v>26470.120914909825</v>
      </c>
      <c r="E12" s="23">
        <f>E10*E8</f>
        <v>342.72115545600377</v>
      </c>
      <c r="F12" s="23">
        <f>F10*F8</f>
        <v>13760.00321813249</v>
      </c>
      <c r="G12" s="23"/>
      <c r="H12" s="23"/>
      <c r="I12" s="23"/>
      <c r="J12" s="23">
        <f>J10*J8</f>
        <v>410.79961410877007</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11735</v>
      </c>
      <c r="C26" s="36"/>
      <c r="D26" s="226"/>
    </row>
    <row r="27" spans="1:5" s="15" customFormat="1">
      <c r="A27" s="228" t="s">
        <v>701</v>
      </c>
      <c r="B27" s="37">
        <f>SUM(HH_hh_gas_aantal,HH_rest_gas_aantal)</f>
        <v>9038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8586.1</v>
      </c>
      <c r="C31" s="34" t="s">
        <v>110</v>
      </c>
      <c r="D31" s="172"/>
    </row>
    <row r="32" spans="1:5">
      <c r="A32" s="169" t="s">
        <v>72</v>
      </c>
      <c r="B32" s="33">
        <f>IF((B21*($B$26-($B$27-0.05*$B$27)-$B$60))&lt;0,0,B21*($B$26-($B$27-0.05*$B$27)-$B$60))</f>
        <v>22.175461784457145</v>
      </c>
      <c r="C32" s="34" t="s">
        <v>110</v>
      </c>
      <c r="D32" s="172"/>
    </row>
    <row r="33" spans="1:6">
      <c r="A33" s="169" t="s">
        <v>73</v>
      </c>
      <c r="B33" s="33">
        <f>IF((B22*($B$26-($B$27-0.05*$B$27)-$B$60))&lt;0,0,B22*($B$26-($B$27-0.05*$B$27)-$B$60))</f>
        <v>635.54571767291134</v>
      </c>
      <c r="C33" s="34" t="s">
        <v>110</v>
      </c>
      <c r="D33" s="172"/>
    </row>
    <row r="34" spans="1:6">
      <c r="A34" s="169" t="s">
        <v>74</v>
      </c>
      <c r="B34" s="33">
        <f>IF((B24*($B$26-($B$27-0.05*$B$27)-$B$60))&lt;0,0,B24*($B$26-($B$27-0.05*$B$27)-$B$60))</f>
        <v>126.73453275392811</v>
      </c>
      <c r="C34" s="33">
        <f>B26*C24</f>
        <v>2399.5448088565408</v>
      </c>
      <c r="D34" s="231"/>
    </row>
    <row r="35" spans="1:6">
      <c r="A35" s="169" t="s">
        <v>76</v>
      </c>
      <c r="B35" s="33">
        <f>IF((B19*($B$26-($B$27-0.05*$B$27)-$B$60))&lt;0,0,B19*($B$26-($B$27-0.05*$B$27)-$B$60))</f>
        <v>65.998398168027222</v>
      </c>
      <c r="C35" s="33">
        <f>B35/2</f>
        <v>32.999199084013611</v>
      </c>
      <c r="D35" s="231"/>
    </row>
    <row r="36" spans="1:6">
      <c r="A36" s="169" t="s">
        <v>77</v>
      </c>
      <c r="B36" s="33">
        <f>IF((B18*($B$26-($B$27-0.05*$B$27)-$B$60))&lt;0,0,B18*($B$26-($B$27-0.05*$B$27)-$B$60))</f>
        <v>2277.4458896206756</v>
      </c>
      <c r="C36" s="34" t="s">
        <v>110</v>
      </c>
      <c r="D36" s="172"/>
    </row>
    <row r="37" spans="1:6">
      <c r="A37" s="169" t="s">
        <v>78</v>
      </c>
      <c r="B37" s="33">
        <f>B60</f>
        <v>21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143</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67059.597372056218</v>
      </c>
      <c r="C5" s="17">
        <f>IF(ISERROR('Eigen informatie GS &amp; warmtenet'!B58),0,'Eigen informatie GS &amp; warmtenet'!B58)</f>
        <v>0</v>
      </c>
      <c r="D5" s="30">
        <f>SUM(D6:D12)</f>
        <v>62852.084698773084</v>
      </c>
      <c r="E5" s="17">
        <f>SUM(E6:E12)</f>
        <v>1299.1944577881334</v>
      </c>
      <c r="F5" s="17">
        <f>SUM(F6:F12)</f>
        <v>12538.066766665985</v>
      </c>
      <c r="G5" s="18"/>
      <c r="H5" s="17"/>
      <c r="I5" s="17"/>
      <c r="J5" s="17">
        <f>SUM(J6:J12)</f>
        <v>0</v>
      </c>
      <c r="K5" s="17"/>
      <c r="L5" s="17"/>
      <c r="M5" s="17"/>
      <c r="N5" s="17">
        <f>SUM(N6:N12)</f>
        <v>2297.0430343782227</v>
      </c>
      <c r="O5" s="17">
        <f>B38*B39*B40</f>
        <v>0</v>
      </c>
      <c r="P5" s="17">
        <f>B46*B47*B48/1000-B46*B47*B48/1000/B49</f>
        <v>133.46666666666667</v>
      </c>
      <c r="R5" s="32"/>
    </row>
    <row r="6" spans="1:18">
      <c r="A6" s="32" t="s">
        <v>53</v>
      </c>
      <c r="B6" s="37">
        <f>B26</f>
        <v>23787.159020275201</v>
      </c>
      <c r="C6" s="33"/>
      <c r="D6" s="37">
        <f>IF(ISERROR(TER_kantoor_gas_kWh/1000),0,TER_kantoor_gas_kWh/1000)*0.902</f>
        <v>15585.504040208381</v>
      </c>
      <c r="E6" s="33">
        <f>$C$26*'E Balans VL '!I12/100/3.6*1000000</f>
        <v>832.64413836638994</v>
      </c>
      <c r="F6" s="33">
        <f>$C$26*('E Balans VL '!L12+'E Balans VL '!N12)/100/3.6*1000000</f>
        <v>3606.6440127734318</v>
      </c>
      <c r="G6" s="34"/>
      <c r="H6" s="33"/>
      <c r="I6" s="33"/>
      <c r="J6" s="33">
        <f>$C$26*('E Balans VL '!D12+'E Balans VL '!E12)/100/3.6*1000000</f>
        <v>0</v>
      </c>
      <c r="K6" s="33"/>
      <c r="L6" s="33"/>
      <c r="M6" s="33"/>
      <c r="N6" s="33">
        <f>$C$26*'E Balans VL '!Y12/100/3.6*1000000</f>
        <v>183.86729405085441</v>
      </c>
      <c r="O6" s="33"/>
      <c r="P6" s="33"/>
      <c r="R6" s="32"/>
    </row>
    <row r="7" spans="1:18">
      <c r="A7" s="32" t="s">
        <v>52</v>
      </c>
      <c r="B7" s="37">
        <f t="shared" ref="B7:B12" si="0">B27</f>
        <v>3816.0168572436201</v>
      </c>
      <c r="C7" s="33"/>
      <c r="D7" s="37">
        <f>IF(ISERROR(TER_horeca_gas_kWh/1000),0,TER_horeca_gas_kWh/1000)*0.902</f>
        <v>4375.4090367866283</v>
      </c>
      <c r="E7" s="33">
        <f>$C$27*'E Balans VL '!I9/100/3.6*1000000</f>
        <v>215.27409141529535</v>
      </c>
      <c r="F7" s="33">
        <f>$C$27*('E Balans VL '!L9+'E Balans VL '!N9)/100/3.6*1000000</f>
        <v>664.77125464027051</v>
      </c>
      <c r="G7" s="34"/>
      <c r="H7" s="33"/>
      <c r="I7" s="33"/>
      <c r="J7" s="33">
        <f>$C$27*('E Balans VL '!D9+'E Balans VL '!E9)/100/3.6*1000000</f>
        <v>0</v>
      </c>
      <c r="K7" s="33"/>
      <c r="L7" s="33"/>
      <c r="M7" s="33"/>
      <c r="N7" s="33">
        <f>$C$27*'E Balans VL '!Y9/100/3.6*1000000</f>
        <v>0</v>
      </c>
      <c r="O7" s="33"/>
      <c r="P7" s="33"/>
      <c r="R7" s="32"/>
    </row>
    <row r="8" spans="1:18">
      <c r="A8" s="6" t="s">
        <v>51</v>
      </c>
      <c r="B8" s="37">
        <f t="shared" si="0"/>
        <v>23803.8522043091</v>
      </c>
      <c r="C8" s="33"/>
      <c r="D8" s="37">
        <f>IF(ISERROR(TER_handel_gas_kWh/1000),0,TER_handel_gas_kWh/1000)*0.902</f>
        <v>16792.871839724485</v>
      </c>
      <c r="E8" s="33">
        <f>$C$28*'E Balans VL '!I13/100/3.6*1000000</f>
        <v>122.20655878061444</v>
      </c>
      <c r="F8" s="33">
        <f>$C$28*('E Balans VL '!L13+'E Balans VL '!N13)/100/3.6*1000000</f>
        <v>3670.1862026308422</v>
      </c>
      <c r="G8" s="34"/>
      <c r="H8" s="33"/>
      <c r="I8" s="33"/>
      <c r="J8" s="33">
        <f>$C$28*('E Balans VL '!D13+'E Balans VL '!E13)/100/3.6*1000000</f>
        <v>0</v>
      </c>
      <c r="K8" s="33"/>
      <c r="L8" s="33"/>
      <c r="M8" s="33"/>
      <c r="N8" s="33">
        <f>$C$28*'E Balans VL '!Y13/100/3.6*1000000</f>
        <v>11.133352241082678</v>
      </c>
      <c r="O8" s="33"/>
      <c r="P8" s="33"/>
      <c r="R8" s="32"/>
    </row>
    <row r="9" spans="1:18">
      <c r="A9" s="32" t="s">
        <v>50</v>
      </c>
      <c r="B9" s="37">
        <f t="shared" si="0"/>
        <v>2004.6426449396502</v>
      </c>
      <c r="C9" s="33"/>
      <c r="D9" s="37">
        <f>IF(ISERROR(TER_gezond_gas_kWh/1000),0,TER_gezond_gas_kWh/1000)*0.902</f>
        <v>6415.4527741140728</v>
      </c>
      <c r="E9" s="33">
        <f>$C$29*'E Balans VL '!I10/100/3.6*1000000</f>
        <v>0.83091009977423635</v>
      </c>
      <c r="F9" s="33">
        <f>$C$29*('E Balans VL '!L10+'E Balans VL '!N10)/100/3.6*1000000</f>
        <v>493.71473303801758</v>
      </c>
      <c r="G9" s="34"/>
      <c r="H9" s="33"/>
      <c r="I9" s="33"/>
      <c r="J9" s="33">
        <f>$C$29*('E Balans VL '!D10+'E Balans VL '!E10)/100/3.6*1000000</f>
        <v>0</v>
      </c>
      <c r="K9" s="33"/>
      <c r="L9" s="33"/>
      <c r="M9" s="33"/>
      <c r="N9" s="33">
        <f>$C$29*'E Balans VL '!Y10/100/3.6*1000000</f>
        <v>17.325074193641374</v>
      </c>
      <c r="O9" s="33"/>
      <c r="P9" s="33"/>
      <c r="R9" s="32"/>
    </row>
    <row r="10" spans="1:18">
      <c r="A10" s="32" t="s">
        <v>49</v>
      </c>
      <c r="B10" s="37">
        <f t="shared" si="0"/>
        <v>8596.8389811775796</v>
      </c>
      <c r="C10" s="33"/>
      <c r="D10" s="37">
        <f>IF(ISERROR(TER_ander_gas_kWh/1000),0,TER_ander_gas_kWh/1000)*0.902</f>
        <v>8911.2950639994906</v>
      </c>
      <c r="E10" s="33">
        <f>$C$30*'E Balans VL '!I14/100/3.6*1000000</f>
        <v>52.406542536465757</v>
      </c>
      <c r="F10" s="33">
        <f>$C$30*('E Balans VL '!L14+'E Balans VL '!N14)/100/3.6*1000000</f>
        <v>2279.1397772457431</v>
      </c>
      <c r="G10" s="34"/>
      <c r="H10" s="33"/>
      <c r="I10" s="33"/>
      <c r="J10" s="33">
        <f>$C$30*('E Balans VL '!D14+'E Balans VL '!E14)/100/3.6*1000000</f>
        <v>0</v>
      </c>
      <c r="K10" s="33"/>
      <c r="L10" s="33"/>
      <c r="M10" s="33"/>
      <c r="N10" s="33">
        <f>$C$30*'E Balans VL '!Y14/100/3.6*1000000</f>
        <v>1981.3856211440641</v>
      </c>
      <c r="O10" s="33"/>
      <c r="P10" s="33"/>
      <c r="R10" s="32"/>
    </row>
    <row r="11" spans="1:18">
      <c r="A11" s="32" t="s">
        <v>54</v>
      </c>
      <c r="B11" s="37">
        <f t="shared" si="0"/>
        <v>1571.1254124024301</v>
      </c>
      <c r="C11" s="33"/>
      <c r="D11" s="37">
        <f>IF(ISERROR(TER_onderwijs_gas_kWh/1000),0,TER_onderwijs_gas_kWh/1000)*0.902</f>
        <v>5120.2884962723092</v>
      </c>
      <c r="E11" s="33">
        <f>$C$31*'E Balans VL '!I11/100/3.6*1000000</f>
        <v>1.1972793736151373</v>
      </c>
      <c r="F11" s="33">
        <f>$C$31*('E Balans VL '!L11+'E Balans VL '!N11)/100/3.6*1000000</f>
        <v>1136.9524496694844</v>
      </c>
      <c r="G11" s="34"/>
      <c r="H11" s="33"/>
      <c r="I11" s="33"/>
      <c r="J11" s="33">
        <f>$C$31*('E Balans VL '!D11+'E Balans VL '!E11)/100/3.6*1000000</f>
        <v>0</v>
      </c>
      <c r="K11" s="33"/>
      <c r="L11" s="33"/>
      <c r="M11" s="33"/>
      <c r="N11" s="33">
        <f>$C$31*'E Balans VL '!Y11/100/3.6*1000000</f>
        <v>4.630482082481322</v>
      </c>
      <c r="O11" s="33"/>
      <c r="P11" s="33"/>
      <c r="R11" s="32"/>
    </row>
    <row r="12" spans="1:18">
      <c r="A12" s="32" t="s">
        <v>255</v>
      </c>
      <c r="B12" s="37">
        <f t="shared" si="0"/>
        <v>3479.96225170864</v>
      </c>
      <c r="C12" s="33"/>
      <c r="D12" s="37">
        <f>IF(ISERROR(TER_rest_gas_kWh/1000),0,TER_rest_gas_kWh/1000)*0.902</f>
        <v>5651.2634476677176</v>
      </c>
      <c r="E12" s="33">
        <f>$C$32*'E Balans VL '!I8/100/3.6*1000000</f>
        <v>74.63493721597851</v>
      </c>
      <c r="F12" s="33">
        <f>$C$32*('E Balans VL '!L8+'E Balans VL '!N8)/100/3.6*1000000</f>
        <v>686.65833666819526</v>
      </c>
      <c r="G12" s="34"/>
      <c r="H12" s="33"/>
      <c r="I12" s="33"/>
      <c r="J12" s="33">
        <f>$C$32*('E Balans VL '!D8+'E Balans VL '!E8)/100/3.6*1000000</f>
        <v>0</v>
      </c>
      <c r="K12" s="33"/>
      <c r="L12" s="33"/>
      <c r="M12" s="33"/>
      <c r="N12" s="33">
        <f>$C$32*'E Balans VL '!Y8/100/3.6*1000000</f>
        <v>98.701210666098987</v>
      </c>
      <c r="O12" s="33"/>
      <c r="P12" s="33"/>
      <c r="R12" s="32"/>
    </row>
    <row r="13" spans="1:18">
      <c r="A13" s="16" t="s">
        <v>489</v>
      </c>
      <c r="B13" s="244">
        <f ca="1">'lokale energieproductie'!N38+'lokale energieproductie'!N31</f>
        <v>1341</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-3831.4285714285716</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68400.597372056218</v>
      </c>
      <c r="C16" s="21">
        <f ca="1">C5+C13+C14</f>
        <v>0</v>
      </c>
      <c r="D16" s="21">
        <f t="shared" ref="D16:N16" ca="1" si="1">MAX((D5+D13+D14),0)</f>
        <v>62852.084698773084</v>
      </c>
      <c r="E16" s="21">
        <f t="shared" si="1"/>
        <v>1299.1944577881334</v>
      </c>
      <c r="F16" s="21">
        <f t="shared" ca="1" si="1"/>
        <v>12538.066766665985</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0.21599443696767262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14774.14851762975</v>
      </c>
      <c r="C20" s="23">
        <f t="shared" ref="C20:P20" ca="1" si="2">C16*C18</f>
        <v>0</v>
      </c>
      <c r="D20" s="23">
        <f t="shared" ca="1" si="2"/>
        <v>12696.121109152164</v>
      </c>
      <c r="E20" s="23">
        <f t="shared" si="2"/>
        <v>294.91714191790629</v>
      </c>
      <c r="F20" s="23">
        <f t="shared" ca="1" si="2"/>
        <v>3347.6638266998179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23787.159020275201</v>
      </c>
      <c r="C26" s="39">
        <f>IF(ISERROR(B26*3.6/1000000/'E Balans VL '!Z12*100),0,B26*3.6/1000000/'E Balans VL '!Z12*100)</f>
        <v>0.5005613135478052</v>
      </c>
      <c r="D26" s="234" t="s">
        <v>706</v>
      </c>
      <c r="F26" s="6"/>
    </row>
    <row r="27" spans="1:18">
      <c r="A27" s="229" t="s">
        <v>52</v>
      </c>
      <c r="B27" s="33">
        <f>IF(ISERROR(TER_horeca_ele_kWh/1000),0,TER_horeca_ele_kWh/1000)</f>
        <v>3816.0168572436201</v>
      </c>
      <c r="C27" s="39">
        <f>IF(ISERROR(B27*3.6/1000000/'E Balans VL '!Z9*100),0,B27*3.6/1000000/'E Balans VL '!Z9*100)</f>
        <v>0.32309142439474936</v>
      </c>
      <c r="D27" s="234" t="s">
        <v>706</v>
      </c>
      <c r="F27" s="6"/>
    </row>
    <row r="28" spans="1:18">
      <c r="A28" s="169" t="s">
        <v>51</v>
      </c>
      <c r="B28" s="33">
        <f>IF(ISERROR(TER_handel_ele_kWh/1000),0,TER_handel_ele_kWh/1000)</f>
        <v>23803.8522043091</v>
      </c>
      <c r="C28" s="39">
        <f>IF(ISERROR(B28*3.6/1000000/'E Balans VL '!Z13*100),0,B28*3.6/1000000/'E Balans VL '!Z13*100)</f>
        <v>0.65900635670233054</v>
      </c>
      <c r="D28" s="234" t="s">
        <v>706</v>
      </c>
      <c r="F28" s="6"/>
    </row>
    <row r="29" spans="1:18">
      <c r="A29" s="229" t="s">
        <v>50</v>
      </c>
      <c r="B29" s="33">
        <f>IF(ISERROR(TER_gezond_ele_kWh/1000),0,TER_gezond_ele_kWh/1000)</f>
        <v>2004.6426449396502</v>
      </c>
      <c r="C29" s="39">
        <f>IF(ISERROR(B29*3.6/1000000/'E Balans VL '!Z10*100),0,B29*3.6/1000000/'E Balans VL '!Z10*100)</f>
        <v>0.26058131978733906</v>
      </c>
      <c r="D29" s="234" t="s">
        <v>706</v>
      </c>
      <c r="F29" s="6"/>
    </row>
    <row r="30" spans="1:18">
      <c r="A30" s="229" t="s">
        <v>49</v>
      </c>
      <c r="B30" s="33">
        <f>IF(ISERROR(TER_ander_ele_kWh/1000),0,TER_ander_ele_kWh/1000)</f>
        <v>8596.8389811775796</v>
      </c>
      <c r="C30" s="39">
        <f>IF(ISERROR(B30*3.6/1000000/'E Balans VL '!Z14*100),0,B30*3.6/1000000/'E Balans VL '!Z14*100)</f>
        <v>0.6663338600773141</v>
      </c>
      <c r="D30" s="234" t="s">
        <v>706</v>
      </c>
      <c r="F30" s="6"/>
    </row>
    <row r="31" spans="1:18">
      <c r="A31" s="229" t="s">
        <v>54</v>
      </c>
      <c r="B31" s="33">
        <f>IF(ISERROR(TER_onderwijs_ele_kWh/1000),0,TER_onderwijs_ele_kWh/1000)</f>
        <v>1571.1254124024301</v>
      </c>
      <c r="C31" s="39">
        <f>IF(ISERROR(B31*3.6/1000000/'E Balans VL '!Z11*100),0,B31*3.6/1000000/'E Balans VL '!Z11*100)</f>
        <v>0.30058306280307184</v>
      </c>
      <c r="D31" s="234" t="s">
        <v>706</v>
      </c>
    </row>
    <row r="32" spans="1:18">
      <c r="A32" s="229" t="s">
        <v>255</v>
      </c>
      <c r="B32" s="33">
        <f>IF(ISERROR(TER_rest_ele_kWh/1000),0,TER_rest_ele_kWh/1000)</f>
        <v>3479.96225170864</v>
      </c>
      <c r="C32" s="39">
        <f>IF(ISERROR(B32*3.6/1000000/'E Balans VL '!Z8*100),0,B32*3.6/1000000/'E Balans VL '!Z8*100)</f>
        <v>2.8694961082510326E-2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7</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128382.36116887722</v>
      </c>
      <c r="C5" s="17">
        <f>IF(ISERROR('Eigen informatie GS &amp; warmtenet'!B59),0,'Eigen informatie GS &amp; warmtenet'!B59)</f>
        <v>0</v>
      </c>
      <c r="D5" s="30">
        <f>SUM(D6:D15)</f>
        <v>67358.239803378674</v>
      </c>
      <c r="E5" s="17">
        <f>SUM(E6:E15)</f>
        <v>1252.9493345559506</v>
      </c>
      <c r="F5" s="17">
        <f>SUM(F6:F15)</f>
        <v>31285.149464914324</v>
      </c>
      <c r="G5" s="18"/>
      <c r="H5" s="17"/>
      <c r="I5" s="17"/>
      <c r="J5" s="17">
        <f>SUM(J6:J15)</f>
        <v>1016.1612476827167</v>
      </c>
      <c r="K5" s="17"/>
      <c r="L5" s="17"/>
      <c r="M5" s="17"/>
      <c r="N5" s="17">
        <f>SUM(N6:N15)</f>
        <v>2724.9874961029909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18891.123940807</v>
      </c>
      <c r="C8" s="33"/>
      <c r="D8" s="37">
        <f>IF( ISERROR(IND_metaal_Gas_kWH/1000),0,IND_metaal_Gas_kWH/1000)*0.902</f>
        <v>1552.8513567948348</v>
      </c>
      <c r="E8" s="33">
        <f>C30*'E Balans VL '!I18/100/3.6*1000000</f>
        <v>132.74375979462101</v>
      </c>
      <c r="F8" s="33">
        <f>C30*'E Balans VL '!L18/100/3.6*1000000+C30*'E Balans VL '!N18/100/3.6*1000000</f>
        <v>2074.1348847468435</v>
      </c>
      <c r="G8" s="34"/>
      <c r="H8" s="33"/>
      <c r="I8" s="33"/>
      <c r="J8" s="40">
        <f>C30*'E Balans VL '!D18/100/3.6*1000000+C30*'E Balans VL '!E18/100/3.6*1000000</f>
        <v>389.76460467196188</v>
      </c>
      <c r="K8" s="33"/>
      <c r="L8" s="33"/>
      <c r="M8" s="33"/>
      <c r="N8" s="33">
        <f>C30*'E Balans VL '!Y18/100/3.6*1000000</f>
        <v>70.805293067431492</v>
      </c>
      <c r="O8" s="33"/>
      <c r="P8" s="33"/>
      <c r="R8" s="32"/>
    </row>
    <row r="9" spans="1:18">
      <c r="A9" s="6" t="s">
        <v>32</v>
      </c>
      <c r="B9" s="37">
        <f t="shared" si="0"/>
        <v>13047.142490833901</v>
      </c>
      <c r="C9" s="33"/>
      <c r="D9" s="37">
        <f>IF( ISERROR(IND_andere_gas_kWh/1000),0,IND_andere_gas_kWh/1000)*0.902</f>
        <v>4523.5691151011042</v>
      </c>
      <c r="E9" s="33">
        <f>C31*'E Balans VL '!I19/100/3.6*1000000</f>
        <v>219.14274139342373</v>
      </c>
      <c r="F9" s="33">
        <f>C31*'E Balans VL '!L19/100/3.6*1000000+C31*'E Balans VL '!N19/100/3.6*1000000</f>
        <v>10199.512889583868</v>
      </c>
      <c r="G9" s="34"/>
      <c r="H9" s="33"/>
      <c r="I9" s="33"/>
      <c r="J9" s="40">
        <f>C31*'E Balans VL '!D19/100/3.6*1000000+C31*'E Balans VL '!E19/100/3.6*1000000</f>
        <v>1.176737080524427</v>
      </c>
      <c r="K9" s="33"/>
      <c r="L9" s="33"/>
      <c r="M9" s="33"/>
      <c r="N9" s="33">
        <f>C31*'E Balans VL '!Y19/100/3.6*1000000</f>
        <v>967.00258154383482</v>
      </c>
      <c r="O9" s="33"/>
      <c r="P9" s="33"/>
      <c r="R9" s="32"/>
    </row>
    <row r="10" spans="1:18">
      <c r="A10" s="6" t="s">
        <v>40</v>
      </c>
      <c r="B10" s="37">
        <f t="shared" si="0"/>
        <v>5882.1162360912494</v>
      </c>
      <c r="C10" s="33"/>
      <c r="D10" s="37">
        <f>IF( ISERROR(IND_voed_gas_kWh/1000),0,IND_voed_gas_kWh/1000)*0.902</f>
        <v>25647.192530777778</v>
      </c>
      <c r="E10" s="33">
        <f>C32*'E Balans VL '!I20/100/3.6*1000000</f>
        <v>53.665984224812171</v>
      </c>
      <c r="F10" s="33">
        <f>C32*'E Balans VL '!L20/100/3.6*1000000+C32*'E Balans VL '!N20/100/3.6*1000000</f>
        <v>948.96933071039211</v>
      </c>
      <c r="G10" s="34"/>
      <c r="H10" s="33"/>
      <c r="I10" s="33"/>
      <c r="J10" s="40">
        <f>C32*'E Balans VL '!D20/100/3.6*1000000+C32*'E Balans VL '!E20/100/3.6*1000000</f>
        <v>24.226411162302437</v>
      </c>
      <c r="K10" s="33"/>
      <c r="L10" s="33"/>
      <c r="M10" s="33"/>
      <c r="N10" s="33">
        <f>C32*'E Balans VL '!Y20/100/3.6*1000000</f>
        <v>86.050722355187375</v>
      </c>
      <c r="O10" s="33"/>
      <c r="P10" s="33"/>
      <c r="R10" s="32"/>
    </row>
    <row r="11" spans="1:18">
      <c r="A11" s="6" t="s">
        <v>39</v>
      </c>
      <c r="B11" s="37">
        <f t="shared" si="0"/>
        <v>108.51042724486601</v>
      </c>
      <c r="C11" s="33"/>
      <c r="D11" s="37">
        <f>IF( ISERROR(IND_textiel_gas_kWh/1000),0,IND_textiel_gas_kWh/1000)*0.902</f>
        <v>0</v>
      </c>
      <c r="E11" s="33">
        <f>C33*'E Balans VL '!I21/100/3.6*1000000</f>
        <v>0.24749215672185523</v>
      </c>
      <c r="F11" s="33">
        <f>C33*'E Balans VL '!L21/100/3.6*1000000+C33*'E Balans VL '!N21/100/3.6*1000000</f>
        <v>2.3195110253268694</v>
      </c>
      <c r="G11" s="34"/>
      <c r="H11" s="33"/>
      <c r="I11" s="33"/>
      <c r="J11" s="40">
        <f>C33*'E Balans VL '!D21/100/3.6*1000000+C33*'E Balans VL '!E21/100/3.6*1000000</f>
        <v>0</v>
      </c>
      <c r="K11" s="33"/>
      <c r="L11" s="33"/>
      <c r="M11" s="33"/>
      <c r="N11" s="33">
        <f>C33*'E Balans VL '!Y21/100/3.6*1000000</f>
        <v>0.76975833178262187</v>
      </c>
      <c r="O11" s="33"/>
      <c r="P11" s="33"/>
      <c r="R11" s="32"/>
    </row>
    <row r="12" spans="1:18">
      <c r="A12" s="6" t="s">
        <v>36</v>
      </c>
      <c r="B12" s="37">
        <f t="shared" si="0"/>
        <v>387.48233722518199</v>
      </c>
      <c r="C12" s="33"/>
      <c r="D12" s="37">
        <f>IF( ISERROR(IND_min_gas_kWh/1000),0,IND_min_gas_kWh/1000)*0.902</f>
        <v>0</v>
      </c>
      <c r="E12" s="33">
        <f>C34*'E Balans VL '!I22/100/3.6*1000000</f>
        <v>9.6108216869844174</v>
      </c>
      <c r="F12" s="33">
        <f>C34*'E Balans VL '!L22/100/3.6*1000000+C34*'E Balans VL '!N22/100/3.6*1000000</f>
        <v>41.173708472105453</v>
      </c>
      <c r="G12" s="34"/>
      <c r="H12" s="33"/>
      <c r="I12" s="33"/>
      <c r="J12" s="40">
        <f>C34*'E Balans VL '!D22/100/3.6*1000000+C34*'E Balans VL '!E22/100/3.6*1000000</f>
        <v>2.2011270354285166</v>
      </c>
      <c r="K12" s="33"/>
      <c r="L12" s="33"/>
      <c r="M12" s="33"/>
      <c r="N12" s="33">
        <f>C34*'E Balans VL '!Y22/100/3.6*1000000</f>
        <v>0</v>
      </c>
      <c r="O12" s="33"/>
      <c r="P12" s="33"/>
      <c r="R12" s="32"/>
    </row>
    <row r="13" spans="1:18">
      <c r="A13" s="6" t="s">
        <v>38</v>
      </c>
      <c r="B13" s="37">
        <f t="shared" si="0"/>
        <v>1136.6756530059999</v>
      </c>
      <c r="C13" s="33"/>
      <c r="D13" s="37">
        <f>IF( ISERROR(IND_papier_gas_kWh/1000),0,IND_papier_gas_kWh/1000)*0.902</f>
        <v>758.47618745251498</v>
      </c>
      <c r="E13" s="33">
        <f>C35*'E Balans VL '!I23/100/3.6*1000000</f>
        <v>34.972543383740557</v>
      </c>
      <c r="F13" s="33">
        <f>C35*'E Balans VL '!L23/100/3.6*1000000+C35*'E Balans VL '!N23/100/3.6*1000000</f>
        <v>241.35596560023001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88929.310083669014</v>
      </c>
      <c r="C15" s="33"/>
      <c r="D15" s="37">
        <f>IF( ISERROR(IND_rest_gas_kWh/1000),0,IND_rest_gas_kWh/1000)*0.902</f>
        <v>34876.150613252452</v>
      </c>
      <c r="E15" s="33">
        <f>C37*'E Balans VL '!I15/100/3.6*1000000</f>
        <v>802.5659919156468</v>
      </c>
      <c r="F15" s="33">
        <f>C37*'E Balans VL '!L15/100/3.6*1000000+C37*'E Balans VL '!N15/100/3.6*1000000</f>
        <v>17777.683174775557</v>
      </c>
      <c r="G15" s="34"/>
      <c r="H15" s="33"/>
      <c r="I15" s="33"/>
      <c r="J15" s="40">
        <f>C37*'E Balans VL '!D15/100/3.6*1000000+C37*'E Balans VL '!E15/100/3.6*1000000</f>
        <v>598.79236773249943</v>
      </c>
      <c r="K15" s="33"/>
      <c r="L15" s="33"/>
      <c r="M15" s="33"/>
      <c r="N15" s="33">
        <f>C37*'E Balans VL '!Y15/100/3.6*1000000</f>
        <v>1600.3591408047546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128382.36116887722</v>
      </c>
      <c r="C18" s="21">
        <f>C5+C16</f>
        <v>0</v>
      </c>
      <c r="D18" s="21">
        <f>MAX((D5+D16),0)</f>
        <v>67358.239803378674</v>
      </c>
      <c r="E18" s="21">
        <f>MAX((E5+E16),0)</f>
        <v>1252.9493345559506</v>
      </c>
      <c r="F18" s="21">
        <f>MAX((F5+F16),0)</f>
        <v>31285.149464914324</v>
      </c>
      <c r="G18" s="21"/>
      <c r="H18" s="21"/>
      <c r="I18" s="21"/>
      <c r="J18" s="21">
        <f>MAX((J5+J16),0)</f>
        <v>1016.1612476827167</v>
      </c>
      <c r="K18" s="21"/>
      <c r="L18" s="21">
        <f>MAX((L5+L16),0)</f>
        <v>0</v>
      </c>
      <c r="M18" s="21"/>
      <c r="N18" s="21">
        <f>MAX((N5+N16),0)</f>
        <v>2724.9874961029909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0.21599443696767262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27729.875817252032</v>
      </c>
      <c r="C22" s="23">
        <f ca="1">C18*C20</f>
        <v>0</v>
      </c>
      <c r="D22" s="23">
        <f>D18*D20</f>
        <v>13606.364440282494</v>
      </c>
      <c r="E22" s="23">
        <f>E18*E20</f>
        <v>284.41949894420077</v>
      </c>
      <c r="F22" s="23">
        <f>F18*F20</f>
        <v>8353.1349071321256</v>
      </c>
      <c r="G22" s="23"/>
      <c r="H22" s="23"/>
      <c r="I22" s="23"/>
      <c r="J22" s="23">
        <f>J18*J20</f>
        <v>359.72108167968173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18891.123940807</v>
      </c>
      <c r="C30" s="39">
        <f>IF(ISERROR(B30*3.6/1000000/'E Balans VL '!Z18*100),0,B30*3.6/1000000/'E Balans VL '!Z18*100)</f>
        <v>1.2575936566264869</v>
      </c>
      <c r="D30" s="234" t="s">
        <v>706</v>
      </c>
    </row>
    <row r="31" spans="1:18">
      <c r="A31" s="6" t="s">
        <v>32</v>
      </c>
      <c r="B31" s="37">
        <f>IF( ISERROR(IND_ander_ele_kWh/1000),0,IND_ander_ele_kWh/1000)</f>
        <v>13047.142490833901</v>
      </c>
      <c r="C31" s="39">
        <f>IF(ISERROR(B31*3.6/1000000/'E Balans VL '!Z19*100),0,B31*3.6/1000000/'E Balans VL '!Z19*100)</f>
        <v>0.57832812148640789</v>
      </c>
      <c r="D31" s="234" t="s">
        <v>706</v>
      </c>
    </row>
    <row r="32" spans="1:18">
      <c r="A32" s="169" t="s">
        <v>40</v>
      </c>
      <c r="B32" s="37">
        <f>IF( ISERROR(IND_voed_ele_kWh/1000),0,IND_voed_ele_kWh/1000)</f>
        <v>5882.1162360912494</v>
      </c>
      <c r="C32" s="39">
        <f>IF(ISERROR(B32*3.6/1000000/'E Balans VL '!Z20*100),0,B32*3.6/1000000/'E Balans VL '!Z20*100)</f>
        <v>0.19647955589305746</v>
      </c>
      <c r="D32" s="234" t="s">
        <v>706</v>
      </c>
    </row>
    <row r="33" spans="1:5">
      <c r="A33" s="169" t="s">
        <v>39</v>
      </c>
      <c r="B33" s="37">
        <f>IF( ISERROR(IND_textiel_ele_kWh/1000),0,IND_textiel_ele_kWh/1000)</f>
        <v>108.51042724486601</v>
      </c>
      <c r="C33" s="39">
        <f>IF(ISERROR(B33*3.6/1000000/'E Balans VL '!Z21*100),0,B33*3.6/1000000/'E Balans VL '!Z21*100)</f>
        <v>1.4285647976169907E-2</v>
      </c>
      <c r="D33" s="234" t="s">
        <v>706</v>
      </c>
    </row>
    <row r="34" spans="1:5">
      <c r="A34" s="169" t="s">
        <v>36</v>
      </c>
      <c r="B34" s="37">
        <f>IF( ISERROR(IND_min_ele_kWh/1000),0,IND_min_ele_kWh/1000)</f>
        <v>387.48233722518199</v>
      </c>
      <c r="C34" s="39">
        <f>IF(ISERROR(B34*3.6/1000000/'E Balans VL '!Z22*100),0,B34*3.6/1000000/'E Balans VL '!Z22*100)</f>
        <v>7.5361058338763443E-2</v>
      </c>
      <c r="D34" s="234" t="s">
        <v>706</v>
      </c>
    </row>
    <row r="35" spans="1:5">
      <c r="A35" s="169" t="s">
        <v>38</v>
      </c>
      <c r="B35" s="37">
        <f>IF( ISERROR(IND_papier_ele_kWh/1000),0,IND_papier_ele_kWh/1000)</f>
        <v>1136.6756530059999</v>
      </c>
      <c r="C35" s="39">
        <f>IF(ISERROR(B35*3.6/1000000/'E Balans VL '!Z22*100),0,B35*3.6/1000000/'E Balans VL '!Z22*100)</f>
        <v>0.22107092883734725</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88929.310083669014</v>
      </c>
      <c r="C37" s="39">
        <f>IF(ISERROR(B37*3.6/1000000/'E Balans VL '!Z15*100),0,B37*3.6/1000000/'E Balans VL '!Z15*100)</f>
        <v>0.66148918878359608</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1447.5547885856549</v>
      </c>
      <c r="C5" s="17">
        <f>'Eigen informatie GS &amp; warmtenet'!B60</f>
        <v>0</v>
      </c>
      <c r="D5" s="30">
        <f>IF(ISERROR(SUM(LB_lb_gas_kWh,LB_rest_gas_kWh)/1000),0,SUM(LB_lb_gas_kWh,LB_rest_gas_kWh)/1000)*0.902</f>
        <v>40573.655926644045</v>
      </c>
      <c r="E5" s="17">
        <f>B17*'E Balans VL '!I25/3.6*1000000/100</f>
        <v>15.159107128901033</v>
      </c>
      <c r="F5" s="17">
        <f>B17*('E Balans VL '!L25/3.6*1000000+'E Balans VL '!N25/3.6*1000000)/100</f>
        <v>6196.6344031882254</v>
      </c>
      <c r="G5" s="18"/>
      <c r="H5" s="17"/>
      <c r="I5" s="17"/>
      <c r="J5" s="17">
        <f>('E Balans VL '!D25+'E Balans VL '!E25)/3.6*1000000*landbouw!B17/100</f>
        <v>129.27961727561231</v>
      </c>
      <c r="K5" s="17"/>
      <c r="L5" s="17">
        <f>L6*(-1)</f>
        <v>0</v>
      </c>
      <c r="M5" s="17"/>
      <c r="N5" s="17">
        <f>N6*(-1)</f>
        <v>0</v>
      </c>
      <c r="O5" s="17"/>
      <c r="P5" s="17"/>
      <c r="R5" s="32"/>
    </row>
    <row r="6" spans="1:18">
      <c r="A6" s="16" t="s">
        <v>489</v>
      </c>
      <c r="B6" s="17" t="s">
        <v>210</v>
      </c>
      <c r="C6" s="17">
        <f>'lokale energieproductie'!O39+'lokale energieproductie'!O32</f>
        <v>19549.285714285714</v>
      </c>
      <c r="D6" s="304">
        <f>('lokale energieproductie'!P32+'lokale energieproductie'!P39)*(-1)</f>
        <v>-39098.571428571428</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1447.5547885856549</v>
      </c>
      <c r="C8" s="21">
        <f>C5+C6</f>
        <v>19549.285714285714</v>
      </c>
      <c r="D8" s="21">
        <f>MAX((D5+D6),0)</f>
        <v>1475.0844980726179</v>
      </c>
      <c r="E8" s="21">
        <f>MAX((E5+E6),0)</f>
        <v>15.159107128901033</v>
      </c>
      <c r="F8" s="21">
        <f>MAX((F5+F6),0)</f>
        <v>6196.6344031882254</v>
      </c>
      <c r="G8" s="21"/>
      <c r="H8" s="21"/>
      <c r="I8" s="21"/>
      <c r="J8" s="21">
        <f>MAX((J5+J6),0)</f>
        <v>129.27961727561231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0.21599443696767262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312.66378154041689</v>
      </c>
      <c r="C12" s="23">
        <f ca="1">C8*C10</f>
        <v>4645.8302521008409</v>
      </c>
      <c r="D12" s="23">
        <f>D8*D10</f>
        <v>297.96706861066883</v>
      </c>
      <c r="E12" s="23">
        <f>E8*E10</f>
        <v>3.4411173182605346</v>
      </c>
      <c r="F12" s="23">
        <f>F8*F10</f>
        <v>1654.5013856512562</v>
      </c>
      <c r="G12" s="23"/>
      <c r="H12" s="23"/>
      <c r="I12" s="23"/>
      <c r="J12" s="23">
        <f>J8*J10</f>
        <v>45.764984515566752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0.22280662493456946</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134.23934400721197</v>
      </c>
      <c r="C26" s="244">
        <f>B26*'GWP N2O_CH4'!B5</f>
        <v>2819.0262241514515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66.68799444366158</v>
      </c>
      <c r="C27" s="244">
        <f>B27*'GWP N2O_CH4'!B5</f>
        <v>1400.4478833168932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3.3218074151611234</v>
      </c>
      <c r="C28" s="244">
        <f>B28*'GWP N2O_CH4'!B4</f>
        <v>1029.7602986999482</v>
      </c>
      <c r="D28" s="50"/>
    </row>
    <row r="29" spans="1:4">
      <c r="A29" s="41" t="s">
        <v>272</v>
      </c>
      <c r="B29" s="244">
        <f>B34*'ha_N2O bodem landbouw'!B4</f>
        <v>13.369634675591929</v>
      </c>
      <c r="C29" s="244">
        <f>B29*'GWP N2O_CH4'!B4</f>
        <v>4144.586749433498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2.209507722868851E-3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9.2511642648995189E-6</v>
      </c>
      <c r="C5" s="435" t="s">
        <v>210</v>
      </c>
      <c r="D5" s="420">
        <f>SUM(D6:D11)</f>
        <v>3.0306431536110371E-5</v>
      </c>
      <c r="E5" s="420">
        <f>SUM(E6:E11)</f>
        <v>3.3561633462780788E-3</v>
      </c>
      <c r="F5" s="433" t="s">
        <v>210</v>
      </c>
      <c r="G5" s="420">
        <f>SUM(G6:G11)</f>
        <v>0.6474918511799389</v>
      </c>
      <c r="H5" s="420">
        <f>SUM(H6:H11)</f>
        <v>0.10186669725596434</v>
      </c>
      <c r="I5" s="435" t="s">
        <v>210</v>
      </c>
      <c r="J5" s="435" t="s">
        <v>210</v>
      </c>
      <c r="K5" s="435" t="s">
        <v>210</v>
      </c>
      <c r="L5" s="435" t="s">
        <v>210</v>
      </c>
      <c r="M5" s="420">
        <f>SUM(M6:M11)</f>
        <v>3.2581836738880827E-2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4.3971524277131784E-6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1.3922356239841372E-5</v>
      </c>
      <c r="E6" s="423">
        <f>vkm_GW_PW*SUMIFS(TableVerdeelsleutelVkm[LPG],TableVerdeelsleutelVkm[Voertuigtype],"Lichte voertuigen")*SUMIFS(TableECFTransport[EnergieConsumptieFactor (PJ per km)],TableECFTransport[Index],CONCATENATE($A6,"_LPG_LPG"))</f>
        <v>1.4508305838354509E-3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0.19325099544800814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4.6360496529326452E-2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1.0458839131520814E-2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1.5980247824184379E-7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7.2035307821651504E-2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1.9503546137058342E-6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3.1033110159627126E-3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1.2036608210027239E-6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6.4768417617440369E-6</v>
      </c>
      <c r="E8" s="423">
        <f>vkm_NGW_PW*SUMIFS(TableVerdeelsleutelVkm[LPG],TableVerdeelsleutelVkm[Voertuigtype],"Lichte voertuigen")*SUMIFS(TableECFTransport[EnergieConsumptieFactor (PJ per km)],TableECFTransport[Index],CONCATENATE($A8,"_LPG_LPG"))</f>
        <v>6.3695614669625935E-4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8.0330319269298137E-2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2.0393789724694054E-2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4.3991897618993608E-3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3.0200024867444562E-8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1.8856809907741953E-2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4.4489120332215318E-7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8.123561903497779E-4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3.1744387569713245E-6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9.9072335345249619E-6</v>
      </c>
      <c r="E10" s="423">
        <f>vkm_SW_PW*SUMIFS(TableVerdeelsleutelVkm[LPG],TableVerdeelsleutelVkm[Voertuigtype],"Lichte voertuigen")*SUMIFS(TableECFTransport[EnergieConsumptieFactor (PJ per km)],TableECFTransport[Index],CONCATENATE($A10,"_LPG_LPG"))</f>
        <v>1.2683766157463685E-3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0.15865843042039912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3.5106424143528367E-2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8.4506502932669061E-3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2.8590975610300451E-7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0.12435998831284004</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3.5916125984398767E-6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5.3574903458812537E-3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2.5697678513609774</v>
      </c>
      <c r="C14" s="21"/>
      <c r="D14" s="21">
        <f t="shared" ref="D14:M14" si="0">((D5)*10^9/3600)+D12</f>
        <v>8.418453204475103</v>
      </c>
      <c r="E14" s="21">
        <f t="shared" si="0"/>
        <v>932.26759618835524</v>
      </c>
      <c r="F14" s="21"/>
      <c r="G14" s="21">
        <f t="shared" si="0"/>
        <v>179858.84754998304</v>
      </c>
      <c r="H14" s="21">
        <f t="shared" si="0"/>
        <v>28296.304793323427</v>
      </c>
      <c r="I14" s="21"/>
      <c r="J14" s="21"/>
      <c r="K14" s="21"/>
      <c r="L14" s="21"/>
      <c r="M14" s="21">
        <f t="shared" si="0"/>
        <v>9050.5102052446746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0.21599443696767262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0.55505556019234015</v>
      </c>
      <c r="C18" s="23"/>
      <c r="D18" s="23">
        <f t="shared" ref="D18:M18" si="1">D14*D16</f>
        <v>1.7005275473039709</v>
      </c>
      <c r="E18" s="23">
        <f t="shared" si="1"/>
        <v>211.62474433475666</v>
      </c>
      <c r="F18" s="23"/>
      <c r="G18" s="23">
        <f t="shared" si="1"/>
        <v>48022.312295845477</v>
      </c>
      <c r="H18" s="23">
        <f t="shared" si="1"/>
        <v>7045.7798935375331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4.1816178201248287E-5</v>
      </c>
      <c r="C50" s="315">
        <f t="shared" ref="C50:P50" si="2">SUM(C51:C52)</f>
        <v>0</v>
      </c>
      <c r="D50" s="315">
        <f t="shared" si="2"/>
        <v>0</v>
      </c>
      <c r="E50" s="315">
        <f t="shared" si="2"/>
        <v>0</v>
      </c>
      <c r="F50" s="315">
        <f t="shared" si="2"/>
        <v>0</v>
      </c>
      <c r="G50" s="315">
        <f t="shared" si="2"/>
        <v>9.0716000322547587E-3</v>
      </c>
      <c r="H50" s="315">
        <f t="shared" si="2"/>
        <v>0</v>
      </c>
      <c r="I50" s="315">
        <f t="shared" si="2"/>
        <v>0</v>
      </c>
      <c r="J50" s="315">
        <f t="shared" si="2"/>
        <v>0</v>
      </c>
      <c r="K50" s="315">
        <f t="shared" si="2"/>
        <v>0</v>
      </c>
      <c r="L50" s="315">
        <f t="shared" si="2"/>
        <v>0</v>
      </c>
      <c r="M50" s="315">
        <f t="shared" si="2"/>
        <v>3.8841106710634502E-4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4.1816178201248287E-5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9.0716000322547587E-3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3.8841106710634502E-4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11.615605055902302</v>
      </c>
      <c r="C54" s="21">
        <f t="shared" ref="C54:P54" si="3">(C50)*10^9/3600</f>
        <v>0</v>
      </c>
      <c r="D54" s="21">
        <f t="shared" si="3"/>
        <v>0</v>
      </c>
      <c r="E54" s="21">
        <f t="shared" si="3"/>
        <v>0</v>
      </c>
      <c r="F54" s="21">
        <f t="shared" si="3"/>
        <v>0</v>
      </c>
      <c r="G54" s="21">
        <f t="shared" si="3"/>
        <v>2519.8888978485443</v>
      </c>
      <c r="H54" s="21">
        <f t="shared" si="3"/>
        <v>0</v>
      </c>
      <c r="I54" s="21">
        <f t="shared" si="3"/>
        <v>0</v>
      </c>
      <c r="J54" s="21">
        <f t="shared" si="3"/>
        <v>0</v>
      </c>
      <c r="K54" s="21">
        <f t="shared" si="3"/>
        <v>0</v>
      </c>
      <c r="L54" s="21">
        <f t="shared" si="3"/>
        <v>0</v>
      </c>
      <c r="M54" s="21">
        <f t="shared" si="3"/>
        <v>107.89196308509584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0.21599443696767262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2.5089060740884692</v>
      </c>
      <c r="C58" s="23">
        <f t="shared" ref="C58:P58" ca="1" si="4">C54*C56</f>
        <v>0</v>
      </c>
      <c r="D58" s="23">
        <f t="shared" si="4"/>
        <v>0</v>
      </c>
      <c r="E58" s="23">
        <f t="shared" si="4"/>
        <v>0</v>
      </c>
      <c r="F58" s="23">
        <f t="shared" si="4"/>
        <v>0</v>
      </c>
      <c r="G58" s="23">
        <f t="shared" si="4"/>
        <v>672.81033572556134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5268.8275218966373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13684.5</v>
      </c>
      <c r="C8" s="546">
        <f>B48</f>
        <v>16099.411764705883</v>
      </c>
      <c r="D8" s="965"/>
      <c r="E8" s="965">
        <f>E48</f>
        <v>0</v>
      </c>
      <c r="F8" s="966"/>
      <c r="G8" s="547"/>
      <c r="H8" s="965">
        <f>I48</f>
        <v>0</v>
      </c>
      <c r="I8" s="965">
        <f>G48+F48</f>
        <v>0</v>
      </c>
      <c r="J8" s="965">
        <f>H48+D48+C48</f>
        <v>0</v>
      </c>
      <c r="K8" s="965"/>
      <c r="L8" s="965"/>
      <c r="M8" s="965"/>
      <c r="N8" s="548"/>
      <c r="O8" s="549">
        <f>C8*$C$12+D8*$D$12+E8*$E$12+F8*$F$12+G8*$G$12+H8*$H$12+I8*$I$12+J8*$J$12</f>
        <v>3252.0811764705886</v>
      </c>
      <c r="P8" s="1255"/>
      <c r="Q8" s="1256"/>
      <c r="S8" s="998"/>
      <c r="T8" s="1252"/>
      <c r="U8" s="1252"/>
    </row>
    <row r="9" spans="1:21" s="534" customFormat="1" ht="17.45" customHeight="1" thickBot="1">
      <c r="A9" s="550" t="s">
        <v>243</v>
      </c>
      <c r="B9" s="1002">
        <f>N36+'Eigen informatie GS &amp; warmtenet'!B12</f>
        <v>1341</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20294.327521896637</v>
      </c>
      <c r="C10" s="558">
        <f t="shared" ref="C10:L10" si="0">SUM(C8:C9)</f>
        <v>16099.411764705883</v>
      </c>
      <c r="D10" s="558">
        <f t="shared" si="0"/>
        <v>0</v>
      </c>
      <c r="E10" s="558">
        <f t="shared" si="0"/>
        <v>0</v>
      </c>
      <c r="F10" s="558">
        <f t="shared" si="0"/>
        <v>0</v>
      </c>
      <c r="G10" s="558">
        <f t="shared" si="0"/>
        <v>0</v>
      </c>
      <c r="H10" s="558">
        <f t="shared" si="0"/>
        <v>0</v>
      </c>
      <c r="I10" s="558">
        <f t="shared" si="0"/>
        <v>0</v>
      </c>
      <c r="J10" s="558">
        <f t="shared" si="0"/>
        <v>3831.4285714285716</v>
      </c>
      <c r="K10" s="558">
        <f t="shared" si="0"/>
        <v>0</v>
      </c>
      <c r="L10" s="558">
        <f t="shared" si="0"/>
        <v>0</v>
      </c>
      <c r="M10" s="960"/>
      <c r="N10" s="960"/>
      <c r="O10" s="559">
        <f>SUM(O4:O9)</f>
        <v>3252.0811764705886</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19549.285714285714</v>
      </c>
      <c r="C17" s="570">
        <f>B49</f>
        <v>22999.159663865546</v>
      </c>
      <c r="D17" s="571"/>
      <c r="E17" s="571">
        <f>E49</f>
        <v>0</v>
      </c>
      <c r="F17" s="572"/>
      <c r="G17" s="573"/>
      <c r="H17" s="570">
        <f>I49</f>
        <v>0</v>
      </c>
      <c r="I17" s="571">
        <f>G49+F49</f>
        <v>0</v>
      </c>
      <c r="J17" s="571">
        <f>H49+D49+C49</f>
        <v>0</v>
      </c>
      <c r="K17" s="571"/>
      <c r="L17" s="571"/>
      <c r="M17" s="571"/>
      <c r="N17" s="961"/>
      <c r="O17" s="574">
        <f>C17*$C$22+E17*$E$22+H17*$H$22+I17*$I$22+J17*$J$22+D17*$D$22+F17*$F$22+G17*$G$22+K17*$K$22+L17*$L$22</f>
        <v>4645.8302521008409</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19549.285714285714</v>
      </c>
      <c r="C20" s="557">
        <f>SUM(C17:C19)</f>
        <v>22999.159663865546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4645.8302521008409</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13011</v>
      </c>
      <c r="C28" s="777">
        <v>2200</v>
      </c>
      <c r="D28" s="630" t="s">
        <v>983</v>
      </c>
      <c r="E28" s="629" t="s">
        <v>984</v>
      </c>
      <c r="F28" s="629" t="s">
        <v>985</v>
      </c>
      <c r="G28" s="629" t="s">
        <v>986</v>
      </c>
      <c r="H28" s="629" t="s">
        <v>987</v>
      </c>
      <c r="I28" s="629" t="s">
        <v>984</v>
      </c>
      <c r="J28" s="776">
        <v>39511</v>
      </c>
      <c r="K28" s="776">
        <v>39511</v>
      </c>
      <c r="L28" s="629" t="s">
        <v>988</v>
      </c>
      <c r="M28" s="629">
        <v>3041</v>
      </c>
      <c r="N28" s="629">
        <v>13684.5</v>
      </c>
      <c r="O28" s="629">
        <v>19549.285714285714</v>
      </c>
      <c r="P28" s="629">
        <v>39098.571428571428</v>
      </c>
      <c r="Q28" s="629">
        <v>0</v>
      </c>
      <c r="R28" s="629">
        <v>0</v>
      </c>
      <c r="S28" s="629">
        <v>0</v>
      </c>
      <c r="T28" s="629">
        <v>0</v>
      </c>
      <c r="U28" s="629">
        <v>0</v>
      </c>
      <c r="V28" s="629">
        <v>0</v>
      </c>
      <c r="W28" s="629">
        <v>0</v>
      </c>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3041</v>
      </c>
      <c r="N29" s="587">
        <f>SUM(N28:N28)</f>
        <v>13684.5</v>
      </c>
      <c r="O29" s="587">
        <f>SUM(O28:O28)</f>
        <v>19549.285714285714</v>
      </c>
      <c r="P29" s="587">
        <f>SUM(P28:P28)</f>
        <v>39098.571428571428</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3041</v>
      </c>
      <c r="N32" s="592">
        <f>SUMIF($Z$28:$Z$28,"landbouw",N28:N28)</f>
        <v>13684.5</v>
      </c>
      <c r="O32" s="592">
        <f>SUMIF($Z$28:$Z$28,"landbouw",O28:O28)</f>
        <v>19549.285714285714</v>
      </c>
      <c r="P32" s="592">
        <f>SUMIF($Z$28:$Z$28,"landbouw",P28:P28)</f>
        <v>39098.571428571428</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13011</v>
      </c>
      <c r="C35" s="777">
        <v>2200</v>
      </c>
      <c r="D35" s="632" t="s">
        <v>989</v>
      </c>
      <c r="E35" s="632" t="s">
        <v>990</v>
      </c>
      <c r="F35" s="632" t="s">
        <v>991</v>
      </c>
      <c r="G35" s="632" t="s">
        <v>992</v>
      </c>
      <c r="H35" s="632" t="s">
        <v>993</v>
      </c>
      <c r="I35" s="632" t="s">
        <v>994</v>
      </c>
      <c r="J35" s="776">
        <v>39217</v>
      </c>
      <c r="K35" s="776">
        <v>39227</v>
      </c>
      <c r="L35" s="632" t="s">
        <v>995</v>
      </c>
      <c r="M35" s="632">
        <v>298</v>
      </c>
      <c r="N35" s="632">
        <v>1341</v>
      </c>
      <c r="O35" s="632">
        <v>0</v>
      </c>
      <c r="P35" s="632">
        <v>0</v>
      </c>
      <c r="Q35" s="632">
        <v>3831.4285714285716</v>
      </c>
      <c r="R35" s="632">
        <v>0</v>
      </c>
      <c r="S35" s="632">
        <v>0</v>
      </c>
      <c r="T35" s="632">
        <v>0</v>
      </c>
      <c r="U35" s="632">
        <v>0</v>
      </c>
      <c r="V35" s="632">
        <v>0</v>
      </c>
      <c r="W35" s="632">
        <v>0</v>
      </c>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298</v>
      </c>
      <c r="N36" s="587">
        <f>SUM(N35:N35)</f>
        <v>1341</v>
      </c>
      <c r="O36" s="587">
        <f>SUM(O35:O35)</f>
        <v>0</v>
      </c>
      <c r="P36" s="587">
        <f>SUM(P35:P35)</f>
        <v>0</v>
      </c>
      <c r="Q36" s="587">
        <f>SUM(Q35:Q35)</f>
        <v>3831.4285714285716</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298</v>
      </c>
      <c r="N38" s="587">
        <f>SUMIF($Z$35:$Z$36,"tertiair",N35:N36)</f>
        <v>1341</v>
      </c>
      <c r="O38" s="587">
        <f>SUMIF($Z$35:$Z$36,"tertiair",O35:O36)</f>
        <v>0</v>
      </c>
      <c r="P38" s="587">
        <f>SUMIF($Z$35:$Z$36,"tertiair",P35:P36)</f>
        <v>0</v>
      </c>
      <c r="Q38" s="587">
        <f>SUMIF($Z$35:$Z$36,"tertiair",Q35:Q36)</f>
        <v>3831.4285714285716</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16099.411764705883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22999.159663865546</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2021-06-29T16:53:10Z</dcterms:modified>
</cp:coreProperties>
</file>