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3" i="13"/>
  <c r="B35" i="13"/>
  <c r="C35" i="13" s="1"/>
  <c r="B34"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Q46" i="14"/>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<sst xmlns="http://schemas.openxmlformats.org/spreadsheetml/2006/main" count="2581" uniqueCount="983">
  <si>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</si>
  <si>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</si>
  <si>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</si>
  <si>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</si>
  <si>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</si>
  <si>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</si>
  <si>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</si>
  <si>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</si>
  <si>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</si>
  <si>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</si>
  <si>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</si>
  <si>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</si>
  <si>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</si>
  <si>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</si>
  <si>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</si>
  <si>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</si>
  <si>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</si>
  <si>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</si>
  <si>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</si>
  <si>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</si>
  <si>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</si>
  <si>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</si>
  <si>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</si>
  <si>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</si>
  <si>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</si>
  <si>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</si>
  <si>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</si>
  <si>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</si>
  <si>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</si>
  <si>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</si>
  <si>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</si>
  <si>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</si>
  <si>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</si>
  <si>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</si>
  <si>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</si>
  <si>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</si>
  <si>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</si>
  <si>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</si>
  <si>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</si>
  <si>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</si>
  <si>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</si>
  <si>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</si>
  <si>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</si>
  <si>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</si>
  <si>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</si>
  <si>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</si>
  <si>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</si>
  <si>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</si>
  <si>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</si>
  <si>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</si>
  <si>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</si>
  <si>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</si>
  <si>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</si>
  <si>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</si>
  <si>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</si>
  <si>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</si>
  <si>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</si>
  <si>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</si>
  <si>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</si>
  <si>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</si>
  <si>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</si>
  <si>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</si>
  <si>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</si>
  <si>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</si>
  <si>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</si>
  <si>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</si>
  <si>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</si>
  <si>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</si>
  <si>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</si>
  <si>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</si>
  <si>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</si>
  <si>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</si>
  <si>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</si>
  <si>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</si>
  <si>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</si>
  <si>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</si>
  <si>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</si>
  <si>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</si>
  <si>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</si>
  <si>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</si>
  <si>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</si>
  <si>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</si>
  <si>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</si>
  <si>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</si>
  <si>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</si>
  <si>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</si>
  <si>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</si>
  <si>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</si>
  <si>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</si>
  <si>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</si>
  <si>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</si>
  <si>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</si>
  <si>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</si>
  <si>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</si>
  <si>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</si>
  <si>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</si>
  <si>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</si>
  <si>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</si>
  <si>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</si>
  <si>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</si>
  <si>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</si>
  <si>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</si>
  <si>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</si>
  <si>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</si>
  <si>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</si>
  <si>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</si>
  <si>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</si>
  <si>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</si>
  <si>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</si>
  <si>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</si>
  <si>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</si>
  <si>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</si>
  <si>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</si>
  <si>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</si>
  <si>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</si>
  <si>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</si>
  <si>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</si>
  <si>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</si>
  <si>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</si>
  <si>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</si>
  <si>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</si>
  <si>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</si>
  <si>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</si>
  <si>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</si>
  <si>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</si>
  <si>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</si>
  <si>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</si>
  <si>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</si>
  <si>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</si>
  <si>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</si>
  <si>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</si>
  <si>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</si>
  <si>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</si>
  <si>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</si>
  <si>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</si>
  <si>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</si>
  <si>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</si>
  <si>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</si>
  <si>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</si>
  <si>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</si>
  <si>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</si>
  <si>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</si>
  <si>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</si>
  <si>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</si>
  <si>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</si>
  <si>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</si>
  <si>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</si>
  <si>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</si>
  <si>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</si>
  <si>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</si>
  <si>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</si>
  <si>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</si>
  <si>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</si>
  <si>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</si>
  <si>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</si>
  <si>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</si>
  <si>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</si>
  <si>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</si>
  <si>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</si>
  <si>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</si>
  <si>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</si>
  <si>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</si>
  <si>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</si>
  <si>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</si>
  <si>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</si>
  <si>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</si>
  <si>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</si>
  <si>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</si>
  <si>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</si>
  <si>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</si>
  <si>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</si>
  <si>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</si>
  <si>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</si>
  <si>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</si>
  <si>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</si>
  <si>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</si>
  <si>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</si>
  <si>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</si>
  <si>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</si>
  <si>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</si>
  <si>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</si>
  <si>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</si>
  <si>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</si>
  <si>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</si>
  <si>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</si>
  <si>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</si>
  <si>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</si>
  <si>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</si>
  <si>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</si>
  <si>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</si>
  <si>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</si>
  <si>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</si>
  <si>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</si>
  <si>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</si>
  <si>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</si>
  <si>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</si>
  <si>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</si>
  <si>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</si>
  <si>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</si>
  <si>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</si>
  <si>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</si>
  <si>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</si>
  <si>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</si>
  <si>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</si>
  <si>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</si>
  <si>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</si>
  <si>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</si>
  <si>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</si>
  <si>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</si>
  <si>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</si>
  <si>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</si>
  <si>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</si>
  <si>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</si>
  <si>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</si>
  <si>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</si>
  <si>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</si>
  <si>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</si>
  <si>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</si>
  <si>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</si>
  <si>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</si>
  <si>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</si>
  <si>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</si>
  <si>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</si>
  <si>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</si>
  <si>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</si>
  <si>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</si>
  <si>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</si>
  <si>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</si>
  <si>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</si>
  <si>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</si>
  <si>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</si>
  <si>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</si>
  <si>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</si>
  <si>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</si>
  <si>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</si>
  <si>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</si>
  <si>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</si>
  <si>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</si>
  <si>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</si>
  <si>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</si>
  <si>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</si>
  <si>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</si>
  <si>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</si>
  <si>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</si>
  <si>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</si>
  <si>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</si>
  <si>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</si>
  <si>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</si>
  <si>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</si>
  <si>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</si>
  <si>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</si>
  <si>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</si>
  <si>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</si>
  <si>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</si>
  <si>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</si>
  <si>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</si>
  <si>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</si>
  <si>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</si>
  <si>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</si>
  <si>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</si>
  <si>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</si>
  <si>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</si>
  <si>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</si>
  <si>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</si>
  <si>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</si>
  <si>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</si>
  <si>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</si>
  <si>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</si>
  <si>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</si>
  <si>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</si>
  <si>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</si>
  <si>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</si>
  <si>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</si>
  <si>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</si>
  <si>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</si>
  <si>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</si>
  <si>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</si>
  <si>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</si>
  <si>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</si>
  <si>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</si>
  <si>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</si>
  <si>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</si>
  <si>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</si>
  <si>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</si>
  <si>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</si>
  <si>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</si>
  <si>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</si>
  <si>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</si>
  <si>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</si>
  <si>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</si>
  <si>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</si>
  <si>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</si>
  <si>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</si>
  <si>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</si>
  <si>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</si>
  <si>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</si>
  <si>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</si>
  <si>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</si>
  <si>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</si>
  <si>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</si>
  <si>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</si>
  <si>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</si>
  <si>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</si>
  <si>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</si>
  <si>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</si>
  <si>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</si>
  <si>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</si>
  <si>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</si>
  <si>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</si>
  <si>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</si>
  <si>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</si>
  <si>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</si>
  <si>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</si>
  <si>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</si>
  <si>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</si>
  <si>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</si>
  <si>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</si>
  <si>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</si>
  <si>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</si>
  <si>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</si>
  <si>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</si>
  <si>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</si>
  <si>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</si>
  <si>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</si>
  <si>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</si>
  <si>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</si>
  <si>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</si>
  <si>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</si>
  <si>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</si>
  <si>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</si>
  <si>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</si>
  <si>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</si>
  <si>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</si>
  <si>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</si>
  <si>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</si>
  <si>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</si>
  <si>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</si>
  <si>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</si>
  <si>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</si>
  <si>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</si>
  <si>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</si>
  <si>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</si>
  <si>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</si>
  <si>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</si>
  <si>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</si>
  <si>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</si>
  <si>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</si>
  <si>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</si>
  <si>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</si>
  <si>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</si>
  <si>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</si>
  <si>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</si>
  <si>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</si>
  <si>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</si>
  <si>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</si>
  <si>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</si>
  <si>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</si>
  <si>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</si>
  <si>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</si>
  <si>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</si>
  <si>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</si>
  <si>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</si>
  <si>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</si>
  <si>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</si>
  <si>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</si>
  <si>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</si>
  <si>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</si>
  <si>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</si>
  <si>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</si>
  <si>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</si>
  <si>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</si>
  <si>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</si>
  <si>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</si>
  <si>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</si>
  <si>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</si>
  <si>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</si>
  <si>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</si>
  <si>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</si>
  <si>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</si>
  <si>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</si>
  <si>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</si>
  <si>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</si>
  <si>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</si>
  <si>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</si>
  <si>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</si>
  <si>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</si>
  <si>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</si>
  <si>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</si>
  <si>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</si>
  <si>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</si>
  <si>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</si>
  <si>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</si>
  <si>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</si>
  <si>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</si>
  <si>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</si>
  <si>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</si>
  <si>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</si>
  <si>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</si>
  <si>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</si>
  <si>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</si>
  <si>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</si>
  <si>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</si>
  <si>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</si>
  <si>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</si>
  <si>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</si>
  <si>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</si>
  <si>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</si>
  <si>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</si>
  <si>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</si>
  <si>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</si>
  <si>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</si>
  <si>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</si>
  <si>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</si>
  <si>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</si>
  <si>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</si>
  <si>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</si>
  <si>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</si>
  <si>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</si>
  <si>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</si>
  <si>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</si>
  <si>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</si>
  <si>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</si>
  <si>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</si>
  <si>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</si>
  <si>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</si>
  <si>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</si>
  <si>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</si>
  <si>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</si>
  <si>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</si>
  <si>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</si>
  <si>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</si>
  <si>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</si>
  <si>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</si>
  <si>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</si>
  <si>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</si>
  <si>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</si>
  <si>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</si>
  <si>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</si>
  <si>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</si>
  <si>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</si>
  <si>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</si>
  <si>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</si>
  <si>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</si>
  <si>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</si>
  <si>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</si>
  <si>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</si>
  <si>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</si>
  <si>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</si>
  <si>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</si>
  <si>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</si>
  <si>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</si>
  <si>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</si>
  <si>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</si>
  <si>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</si>
  <si>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</si>
  <si>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</si>
  <si>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</si>
  <si>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</si>
  <si>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</si>
  <si>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</si>
  <si>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</si>
  <si>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</si>
  <si>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</si>
  <si>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</si>
  <si>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</si>
  <si>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</si>
  <si>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</si>
  <si>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</si>
  <si>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</si>
  <si>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</si>
  <si>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</si>
  <si>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</si>
  <si>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</si>
  <si>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</si>
  <si>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</si>
  <si>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</si>
  <si>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</si>
  <si>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</si>
  <si>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</si>
  <si>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</si>
  <si>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</si>
  <si>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</si>
  <si>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</si>
  <si>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</si>
  <si>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</si>
  <si>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</si>
  <si>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</si>
  <si>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</si>
  <si>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</si>
  <si>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</si>
  <si>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</si>
  <si>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</si>
  <si>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</si>
  <si>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</si>
  <si>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</si>
  <si>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</si>
  <si>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</si>
  <si>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</si>
  <si>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</si>
  <si>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</si>
  <si>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</si>
  <si>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</si>
  <si>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</si>
  <si>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</si>
  <si>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</si>
  <si>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</si>
  <si>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</si>
  <si>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</si>
  <si>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</si>
  <si>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</si>
  <si>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</si>
  <si>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</si>
  <si>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</si>
  <si>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</si>
  <si>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</si>
  <si>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</si>
  <si>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</si>
  <si>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</si>
  <si>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</si>
  <si>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</si>
  <si>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</si>
  <si>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</si>
  <si>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</si>
  <si>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</si>
  <si>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</si>
  <si>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</si>
  <si>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</si>
  <si>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</si>
  <si>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</si>
  <si>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</si>
  <si>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</si>
  <si>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</si>
  <si>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</si>
  <si>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</si>
  <si>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</si>
  <si>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</si>
  <si>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</si>
  <si>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</si>
  <si>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</si>
  <si>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</si>
  <si>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</si>
  <si>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</si>
  <si>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</si>
  <si>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</si>
  <si>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</si>
  <si>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</si>
  <si>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</si>
  <si>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</si>
  <si>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</si>
  <si>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</si>
  <si>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</si>
  <si>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</si>
  <si>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</si>
  <si>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</si>
  <si>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</si>
  <si>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</si>
  <si>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</si>
  <si>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</si>
  <si>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</si>
  <si>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</si>
  <si>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</si>
  <si>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</si>
  <si>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</si>
  <si>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</si>
  <si>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</si>
  <si>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</si>
  <si>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</si>
  <si>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</si>
  <si>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</si>
  <si>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</si>
  <si>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</si>
  <si>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</si>
  <si>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</si>
  <si>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</si>
  <si>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</si>
  <si>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</si>
  <si>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</si>
  <si>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</si>
  <si>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</si>
  <si>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</si>
  <si>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</si>
  <si>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</si>
  <si>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</si>
  <si>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</si>
  <si>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</si>
  <si>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</si>
  <si>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</si>
  <si>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</si>
  <si>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</si>
  <si>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</si>
  <si>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</si>
  <si>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</si>
  <si>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</si>
  <si>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</si>
  <si>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</si>
  <si>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</si>
  <si>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</si>
  <si>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</si>
  <si>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</si>
  <si>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</si>
  <si>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</si>
  <si>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</si>
  <si>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</si>
  <si>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</si>
  <si>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</si>
  <si>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</si>
  <si>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</si>
  <si>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</si>
  <si>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</si>
  <si>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</si>
  <si>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</si>
  <si>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</si>
  <si>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</si>
  <si>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</si>
  <si>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</si>
  <si>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</si>
  <si>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</si>
  <si>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</si>
  <si>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</si>
  <si>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</si>
  <si>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</si>
  <si>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</si>
  <si>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</si>
  <si>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</si>
  <si>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</si>
  <si>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</si>
  <si>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</si>
  <si>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</si>
  <si>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</si>
  <si>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</si>
  <si>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</si>
  <si>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</si>
  <si>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</si>
  <si>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</si>
  <si>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</si>
  <si>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</si>
  <si>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</si>
  <si>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</si>
  <si>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</si>
  <si>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</si>
  <si>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</si>
  <si>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</si>
  <si>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</si>
  <si>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</si>
  <si>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</si>
  <si>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</si>
  <si>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</si>
  <si>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</si>
  <si>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</si>
  <si>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</si>
  <si>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</si>
  <si>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</si>
  <si>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</si>
  <si>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</si>
  <si>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</si>
  <si>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</si>
  <si>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</si>
  <si>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</si>
  <si>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</si>
  <si>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</si>
  <si>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</si>
  <si>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</si>
  <si>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</si>
  <si>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</si>
  <si>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</si>
  <si>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</si>
  <si>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</si>
  <si>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</si>
  <si>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</si>
  <si>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</si>
  <si>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</si>
  <si>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</si>
  <si>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</si>
  <si>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</si>
  <si>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</si>
  <si>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</si>
  <si>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</si>
  <si>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</si>
  <si>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</si>
  <si>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</si>
  <si>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</si>
  <si>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</si>
  <si>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</si>
  <si>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</si>
  <si>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</si>
  <si>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</si>
  <si>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</si>
  <si>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</si>
  <si>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</si>
  <si>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</si>
  <si>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</si>
  <si>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</si>
  <si>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</si>
  <si>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</si>
  <si>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</si>
  <si>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</si>
  <si>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</si>
  <si>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</si>
  <si>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</si>
  <si>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</si>
  <si>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</si>
  <si>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</si>
  <si>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</si>
  <si>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</si>
  <si>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</si>
  <si>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</si>
  <si>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</si>
  <si>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</si>
  <si>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</si>
  <si>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</si>
  <si>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</si>
  <si>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</si>
  <si>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</si>
  <si>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</si>
  <si>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</si>
  <si>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</si>
  <si>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</si>
  <si>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</si>
  <si>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</si>
  <si>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</si>
  <si>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</si>
  <si>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</si>
  <si>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</si>
  <si>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</si>
  <si>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</si>
  <si>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</si>
  <si>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</si>
  <si>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</si>
  <si>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</si>
  <si>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</si>
  <si>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</si>
  <si>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</si>
  <si>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</si>
  <si>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</si>
  <si>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</si>
  <si>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</si>
  <si>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</si>
  <si>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</si>
  <si>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</si>
  <si>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</si>
  <si>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</si>
  <si>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</si>
  <si>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</si>
  <si>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</si>
  <si>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</si>
  <si>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</si>
  <si>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</si>
  <si>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</si>
  <si>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</si>
  <si>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</si>
  <si>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</si>
  <si>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</si>
  <si>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</si>
  <si>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</si>
  <si>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</si>
  <si>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</si>
  <si>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</si>
  <si>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</si>
  <si>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</si>
  <si>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</si>
  <si>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</si>
  <si>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</si>
  <si>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</si>
  <si>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</si>
  <si>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</si>
  <si>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</si>
  <si>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</si>
  <si>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</si>
  <si>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</si>
  <si>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</si>
  <si>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</si>
  <si>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</si>
  <si>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</si>
  <si>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</si>
  <si>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</si>
  <si>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</si>
  <si>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</si>
  <si>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</si>
  <si>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</si>
  <si>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</si>
  <si>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</si>
  <si>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</si>
  <si>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</si>
  <si>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</si>
  <si>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</si>
  <si>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</si>
  <si>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</si>
  <si>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</si>
  <si>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</si>
  <si>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</si>
  <si>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</si>
  <si>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</si>
  <si>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</si>
  <si>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</si>
  <si>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</si>
  <si>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</si>
  <si>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</si>
  <si>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</si>
  <si>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</si>
  <si>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</si>
  <si>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</si>
  <si>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</si>
  <si>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</si>
  <si>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</si>
  <si>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</si>
  <si>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</si>
  <si>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</si>
  <si>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</si>
  <si>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</si>
  <si>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</si>
  <si>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</si>
  <si>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</si>
  <si>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</si>
  <si>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</si>
  <si>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</si>
  <si>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</si>
  <si>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</si>
  <si>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</si>
  <si>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</si>
  <si>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</si>
  <si>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</si>
  <si>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</si>
  <si>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</si>
  <si>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</si>
  <si>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</si>
  <si>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</si>
  <si>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</si>
  <si>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</si>
  <si>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</si>
  <si>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</si>
  <si>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</si>
  <si>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</si>
  <si>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</si>
  <si>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</si>
  <si>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</si>
  <si>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</si>
  <si>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</si>
  <si>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</si>
  <si>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</si>
  <si>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</si>
  <si>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</si>
  <si>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</si>
  <si>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</si>
  <si>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</si>
  <si>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</si>
  <si>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</si>
  <si>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</si>
  <si>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</si>
  <si>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</si>
  <si>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</si>
  <si>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</si>
  <si>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</si>
  <si>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</si>
  <si>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</si>
  <si>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</si>
  <si>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</si>
  <si>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</si>
  <si>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</si>
  <si>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</si>
  <si>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</si>
  <si>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</si>
  <si>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</si>
  <si>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</si>
  <si>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</si>
  <si>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</si>
  <si>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</si>
  <si>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</si>
  <si>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</si>
  <si>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</si>
  <si>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</si>
  <si>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</si>
  <si>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</si>
  <si>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</si>
  <si>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</si>
  <si>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</si>
  <si>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</si>
  <si>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</si>
  <si>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</si>
  <si>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</si>
  <si>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</si>
  <si>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</si>
  <si>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</si>
  <si>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</si>
  <si>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</si>
  <si>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</si>
  <si>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</si>
  <si>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</si>
  <si>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</si>
  <si>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</si>
  <si>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</si>
  <si>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</si>
  <si>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</si>
  <si>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</si>
  <si>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</si>
  <si>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</si>
  <si>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</si>
  <si>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</si>
  <si>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</si>
  <si>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</si>
  <si>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</si>
  <si>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</si>
  <si>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</si>
  <si>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</si>
  <si>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</si>
  <si>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</si>
  <si>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</si>
  <si>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</si>
  <si>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</si>
  <si>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</si>
  <si>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</si>
  <si>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</si>
  <si>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</si>
  <si>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</si>
  <si>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</si>
  <si>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</si>
  <si>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</si>
  <si>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</si>
  <si>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</si>
  <si>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</si>
  <si>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</si>
  <si>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</si>
  <si>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</si>
  <si>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</si>
  <si>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</si>
  <si>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</si>
  <si>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</si>
  <si>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</si>
  <si>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</si>
  <si>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</si>
  <si>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</si>
  <si>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</si>
  <si>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</si>
  <si>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</si>
  <si>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</si>
  <si>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</si>
  <si>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</si>
  <si>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</si>
  <si>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</si>
  <si>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</si>
  <si>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</si>
  <si>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</si>
  <si>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</si>
  <si>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</si>
  <si>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</si>
  <si>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</si>
  <si>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</si>
  <si>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</si>
  <si>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</si>
  <si>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</si>
  <si>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</si>
  <si>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</si>
  <si>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</si>
  <si>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</si>
  <si>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</si>
  <si>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</si>
  <si>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</si>
  <si>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</si>
  <si>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</si>
  <si>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</si>
  <si>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</si>
  <si>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</si>
  <si>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</si>
  <si>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</si>
  <si>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</si>
  <si>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</si>
  <si>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</si>
  <si>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</si>
  <si>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</si>
  <si>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</si>
  <si>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</si>
  <si>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</si>
  <si>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</si>
  <si>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</si>
  <si>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</si>
  <si>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</si>
  <si>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</si>
  <si>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12040</t>
  </si>
  <si>
    <t>WILLEBROEK</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</si>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</sst>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12040</v>
      </c>
      <c r="B6" s="386"/>
      <c r="C6" s="387"/>
    </row>
    <row r="7" spans="1:7" s="384" customFormat="1" ht="15.75" customHeight="1">
      <c r="A7" s="388" t="str">
        <f>txtMunicipality</f>
        <v>WILLEBROEK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48782.677613365442</v>
      </c>
      <c r="D10" s="676">
        <f ca="1">tertiair!C16</f>
        <v>0</v>
      </c>
      <c r="E10" s="676">
        <f ca="1">tertiair!D16</f>
        <v>41769.410825482315</v>
      </c>
      <c r="F10" s="676">
        <f>tertiair!E16</f>
        <v>1053.0150099770622</v>
      </c>
      <c r="G10" s="676">
        <f ca="1">tertiair!F16</f>
        <v>8215.0701968670255</v>
      </c>
      <c r="H10" s="676">
        <f>tertiair!G16</f>
        <v>0</v>
      </c>
      <c r="I10" s="676">
        <f>tertiair!H16</f>
        <v>0</v>
      </c>
      <c r="J10" s="676">
        <f>tertiair!I16</f>
        <v>0</v>
      </c>
      <c r="K10" s="676">
        <f>tertiair!J16</f>
        <v>0</v>
      </c>
      <c r="L10" s="676">
        <f>tertiair!K16</f>
        <v>0</v>
      </c>
      <c r="M10" s="676">
        <f ca="1">tertiair!L16</f>
        <v>0</v>
      </c>
      <c r="N10" s="676">
        <f>tertiair!M16</f>
        <v>0</v>
      </c>
      <c r="O10" s="676">
        <f ca="1">tertiair!N16</f>
        <v>1237.2898508792148</v>
      </c>
      <c r="P10" s="676">
        <f>tertiair!O16</f>
        <v>1.5633333333333335</v>
      </c>
      <c r="Q10" s="677">
        <f>tertiair!P16</f>
        <v>19.066666666666666</v>
      </c>
      <c r="R10" s="679">
        <f ca="1">SUM(C10:Q10)</f>
        <v>101078.09349657108</v>
      </c>
      <c r="S10" s="67"/>
    </row>
    <row r="11" spans="1:19" s="445" customFormat="1">
      <c r="A11" s="791" t="s">
        <v>220</v>
      </c>
      <c r="B11" s="796"/>
      <c r="C11" s="676">
        <f>huishoudens!B8</f>
        <v>37408.10855262322</v>
      </c>
      <c r="D11" s="676">
        <f>huishoudens!C8</f>
        <v>0</v>
      </c>
      <c r="E11" s="676">
        <f>huishoudens!D8</f>
        <v>117691.29207078877</v>
      </c>
      <c r="F11" s="676">
        <f>huishoudens!E8</f>
        <v>1015.6861535484264</v>
      </c>
      <c r="G11" s="676">
        <f>huishoudens!F8</f>
        <v>34669.833012798183</v>
      </c>
      <c r="H11" s="676">
        <f>huishoudens!G8</f>
        <v>0</v>
      </c>
      <c r="I11" s="676">
        <f>huishoudens!H8</f>
        <v>0</v>
      </c>
      <c r="J11" s="676">
        <f>huishoudens!I8</f>
        <v>0</v>
      </c>
      <c r="K11" s="676">
        <f>huishoudens!J8</f>
        <v>780.67674146494164</v>
      </c>
      <c r="L11" s="676">
        <f>huishoudens!K8</f>
        <v>0</v>
      </c>
      <c r="M11" s="676">
        <f>huishoudens!L8</f>
        <v>0</v>
      </c>
      <c r="N11" s="676">
        <f>huishoudens!M8</f>
        <v>0</v>
      </c>
      <c r="O11" s="676">
        <f>huishoudens!N8</f>
        <v>11415.923933024547</v>
      </c>
      <c r="P11" s="676">
        <f>huishoudens!O8</f>
        <v>48.463333333333338</v>
      </c>
      <c r="Q11" s="677">
        <f>huishoudens!P8</f>
        <v>95.333333333333343</v>
      </c>
      <c r="R11" s="679">
        <f>SUM(C11:Q11)</f>
        <v>203125.31713091477</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73839.8738551735</v>
      </c>
      <c r="D13" s="676">
        <f>industrie!C18</f>
        <v>0</v>
      </c>
      <c r="E13" s="676">
        <f>industrie!D18</f>
        <v>191769.15202130991</v>
      </c>
      <c r="F13" s="676">
        <f>industrie!E18</f>
        <v>688.23960233107539</v>
      </c>
      <c r="G13" s="676">
        <f>industrie!F18</f>
        <v>16346.898341420963</v>
      </c>
      <c r="H13" s="676">
        <f>industrie!G18</f>
        <v>0</v>
      </c>
      <c r="I13" s="676">
        <f>industrie!H18</f>
        <v>0</v>
      </c>
      <c r="J13" s="676">
        <f>industrie!I18</f>
        <v>0</v>
      </c>
      <c r="K13" s="676">
        <f>industrie!J18</f>
        <v>478.34620205393105</v>
      </c>
      <c r="L13" s="676">
        <f>industrie!K18</f>
        <v>0</v>
      </c>
      <c r="M13" s="676">
        <f>industrie!L18</f>
        <v>0</v>
      </c>
      <c r="N13" s="676">
        <f>industrie!M18</f>
        <v>0</v>
      </c>
      <c r="O13" s="676">
        <f>industrie!N18</f>
        <v>1480.8087356159165</v>
      </c>
      <c r="P13" s="676">
        <f>industrie!O18</f>
        <v>0</v>
      </c>
      <c r="Q13" s="677">
        <f>industrie!P18</f>
        <v>0</v>
      </c>
      <c r="R13" s="679">
        <f>SUM(C13:Q13)</f>
        <v>284603.31875790533</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160030.66002116216</v>
      </c>
      <c r="D16" s="709">
        <f t="shared" ref="D16:R16" ca="1" si="0">SUM(D9:D15)</f>
        <v>0</v>
      </c>
      <c r="E16" s="709">
        <f t="shared" ca="1" si="0"/>
        <v>351229.85491758096</v>
      </c>
      <c r="F16" s="709">
        <f t="shared" si="0"/>
        <v>2756.9407658565638</v>
      </c>
      <c r="G16" s="709">
        <f t="shared" ca="1" si="0"/>
        <v>59231.801551086173</v>
      </c>
      <c r="H16" s="709">
        <f t="shared" si="0"/>
        <v>0</v>
      </c>
      <c r="I16" s="709">
        <f t="shared" si="0"/>
        <v>0</v>
      </c>
      <c r="J16" s="709">
        <f t="shared" si="0"/>
        <v>0</v>
      </c>
      <c r="K16" s="709">
        <f t="shared" si="0"/>
        <v>1259.0229435188726</v>
      </c>
      <c r="L16" s="709">
        <f t="shared" si="0"/>
        <v>0</v>
      </c>
      <c r="M16" s="709">
        <f t="shared" ca="1" si="0"/>
        <v>0</v>
      </c>
      <c r="N16" s="709">
        <f t="shared" si="0"/>
        <v>0</v>
      </c>
      <c r="O16" s="709">
        <f t="shared" ca="1" si="0"/>
        <v>14134.022519519678</v>
      </c>
      <c r="P16" s="709">
        <f t="shared" si="0"/>
        <v>50.026666666666671</v>
      </c>
      <c r="Q16" s="709">
        <f t="shared" si="0"/>
        <v>114.4</v>
      </c>
      <c r="R16" s="709">
        <f t="shared" ca="1" si="0"/>
        <v>588806.72938539111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10.624039005326104</v>
      </c>
      <c r="D19" s="676">
        <f>transport!C54</f>
        <v>0</v>
      </c>
      <c r="E19" s="676">
        <f>transport!D54</f>
        <v>0</v>
      </c>
      <c r="F19" s="676">
        <f>transport!E54</f>
        <v>0</v>
      </c>
      <c r="G19" s="676">
        <f>transport!F54</f>
        <v>0</v>
      </c>
      <c r="H19" s="676">
        <f>transport!G54</f>
        <v>2304.7785983587351</v>
      </c>
      <c r="I19" s="676">
        <f>transport!H54</f>
        <v>0</v>
      </c>
      <c r="J19" s="676">
        <f>transport!I54</f>
        <v>0</v>
      </c>
      <c r="K19" s="676">
        <f>transport!J54</f>
        <v>0</v>
      </c>
      <c r="L19" s="676">
        <f>transport!K54</f>
        <v>0</v>
      </c>
      <c r="M19" s="676">
        <f>transport!L54</f>
        <v>0</v>
      </c>
      <c r="N19" s="676">
        <f>transport!M54</f>
        <v>98.681766353170957</v>
      </c>
      <c r="O19" s="676">
        <f>transport!N54</f>
        <v>0</v>
      </c>
      <c r="P19" s="676">
        <f>transport!O54</f>
        <v>0</v>
      </c>
      <c r="Q19" s="677">
        <f>transport!P54</f>
        <v>0</v>
      </c>
      <c r="R19" s="679">
        <f>SUM(C19:Q19)</f>
        <v>2414.0844037172324</v>
      </c>
      <c r="S19" s="67"/>
    </row>
    <row r="20" spans="1:19" s="445" customFormat="1">
      <c r="A20" s="791" t="s">
        <v>302</v>
      </c>
      <c r="B20" s="796"/>
      <c r="C20" s="676">
        <f>transport!B14</f>
        <v>2.8949250621293912</v>
      </c>
      <c r="D20" s="676">
        <f>transport!C14</f>
        <v>0</v>
      </c>
      <c r="E20" s="676">
        <f>transport!D14</f>
        <v>9.4829653399789358</v>
      </c>
      <c r="F20" s="676">
        <f>transport!E14</f>
        <v>1017.5523788617985</v>
      </c>
      <c r="G20" s="676">
        <f>transport!F14</f>
        <v>0</v>
      </c>
      <c r="H20" s="676">
        <f>transport!G14</f>
        <v>244495.61016544749</v>
      </c>
      <c r="I20" s="676">
        <f>transport!H14</f>
        <v>31499.692279514184</v>
      </c>
      <c r="J20" s="676">
        <f>transport!I14</f>
        <v>0</v>
      </c>
      <c r="K20" s="676">
        <f>transport!J14</f>
        <v>0</v>
      </c>
      <c r="L20" s="676">
        <f>transport!K14</f>
        <v>0</v>
      </c>
      <c r="M20" s="676">
        <f>transport!L14</f>
        <v>0</v>
      </c>
      <c r="N20" s="676">
        <f>transport!M14</f>
        <v>11982.444515529685</v>
      </c>
      <c r="O20" s="676">
        <f>transport!N14</f>
        <v>0</v>
      </c>
      <c r="P20" s="676">
        <f>transport!O14</f>
        <v>0</v>
      </c>
      <c r="Q20" s="677">
        <f>transport!P14</f>
        <v>0</v>
      </c>
      <c r="R20" s="679">
        <f>SUM(C20:Q20)</f>
        <v>289007.67722975527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13.518964067455496</v>
      </c>
      <c r="D22" s="794">
        <f t="shared" ref="D22:R22" si="1">SUM(D18:D21)</f>
        <v>0</v>
      </c>
      <c r="E22" s="794">
        <f t="shared" si="1"/>
        <v>9.4829653399789358</v>
      </c>
      <c r="F22" s="794">
        <f t="shared" si="1"/>
        <v>1017.5523788617985</v>
      </c>
      <c r="G22" s="794">
        <f t="shared" si="1"/>
        <v>0</v>
      </c>
      <c r="H22" s="794">
        <f t="shared" si="1"/>
        <v>246800.38876380623</v>
      </c>
      <c r="I22" s="794">
        <f t="shared" si="1"/>
        <v>31499.692279514184</v>
      </c>
      <c r="J22" s="794">
        <f t="shared" si="1"/>
        <v>0</v>
      </c>
      <c r="K22" s="794">
        <f t="shared" si="1"/>
        <v>0</v>
      </c>
      <c r="L22" s="794">
        <f t="shared" si="1"/>
        <v>0</v>
      </c>
      <c r="M22" s="794">
        <f t="shared" si="1"/>
        <v>0</v>
      </c>
      <c r="N22" s="794">
        <f t="shared" si="1"/>
        <v>12081.126281882856</v>
      </c>
      <c r="O22" s="794">
        <f t="shared" si="1"/>
        <v>0</v>
      </c>
      <c r="P22" s="794">
        <f t="shared" si="1"/>
        <v>0</v>
      </c>
      <c r="Q22" s="794">
        <f t="shared" si="1"/>
        <v>0</v>
      </c>
      <c r="R22" s="794">
        <f t="shared" si="1"/>
        <v>291421.76163347252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342.31743605669959</v>
      </c>
      <c r="D24" s="676">
        <f>+landbouw!C8</f>
        <v>0</v>
      </c>
      <c r="E24" s="676">
        <f>+landbouw!D8</f>
        <v>168.70781035814463</v>
      </c>
      <c r="F24" s="676">
        <f>+landbouw!E8</f>
        <v>3.5848222990885295</v>
      </c>
      <c r="G24" s="676">
        <f>+landbouw!F8</f>
        <v>1465.3787323329441</v>
      </c>
      <c r="H24" s="676">
        <f>+landbouw!G8</f>
        <v>0</v>
      </c>
      <c r="I24" s="676">
        <f>+landbouw!H8</f>
        <v>0</v>
      </c>
      <c r="J24" s="676">
        <f>+landbouw!I8</f>
        <v>0</v>
      </c>
      <c r="K24" s="676">
        <f>+landbouw!J8</f>
        <v>30.572015283385845</v>
      </c>
      <c r="L24" s="676">
        <f>+landbouw!K8</f>
        <v>0</v>
      </c>
      <c r="M24" s="676">
        <f>+landbouw!L8</f>
        <v>0</v>
      </c>
      <c r="N24" s="676">
        <f>+landbouw!M8</f>
        <v>0</v>
      </c>
      <c r="O24" s="676">
        <f>+landbouw!N8</f>
        <v>0</v>
      </c>
      <c r="P24" s="676">
        <f>+landbouw!O8</f>
        <v>0</v>
      </c>
      <c r="Q24" s="677">
        <f>+landbouw!P8</f>
        <v>0</v>
      </c>
      <c r="R24" s="679">
        <f>SUM(C24:Q24)</f>
        <v>2010.5608163302625</v>
      </c>
      <c r="S24" s="67"/>
    </row>
    <row r="25" spans="1:19" s="445" customFormat="1" ht="15" thickBot="1">
      <c r="A25" s="813" t="s">
        <v>895</v>
      </c>
      <c r="B25" s="968"/>
      <c r="C25" s="969">
        <f>IF(Onbekend_ele_kWh="---",0,Onbekend_ele_kWh)/1000+IF(REST_rest_ele_kWh="---",0,REST_rest_ele_kWh)/1000</f>
        <v>1978.4839479008799</v>
      </c>
      <c r="D25" s="969"/>
      <c r="E25" s="969">
        <f>IF(onbekend_gas_kWh="---",0,onbekend_gas_kWh)/1000+IF(REST_rest_gas_kWh="---",0,REST_rest_gas_kWh)/1000</f>
        <v>7161.6592117521395</v>
      </c>
      <c r="F25" s="969"/>
      <c r="G25" s="969"/>
      <c r="H25" s="969"/>
      <c r="I25" s="969"/>
      <c r="J25" s="969"/>
      <c r="K25" s="969"/>
      <c r="L25" s="969"/>
      <c r="M25" s="969"/>
      <c r="N25" s="969"/>
      <c r="O25" s="969"/>
      <c r="P25" s="969"/>
      <c r="Q25" s="970"/>
      <c r="R25" s="679">
        <f>SUM(C25:Q25)</f>
        <v>9140.1431596530201</v>
      </c>
      <c r="S25" s="67"/>
    </row>
    <row r="26" spans="1:19" s="445" customFormat="1" ht="15.75" thickBot="1">
      <c r="A26" s="682" t="s">
        <v>896</v>
      </c>
      <c r="B26" s="799"/>
      <c r="C26" s="794">
        <f>SUM(C24:C25)</f>
        <v>2320.8013839575797</v>
      </c>
      <c r="D26" s="794">
        <f t="shared" ref="D26:R26" si="2">SUM(D24:D25)</f>
        <v>0</v>
      </c>
      <c r="E26" s="794">
        <f t="shared" si="2"/>
        <v>7330.3670221102839</v>
      </c>
      <c r="F26" s="794">
        <f t="shared" si="2"/>
        <v>3.5848222990885295</v>
      </c>
      <c r="G26" s="794">
        <f t="shared" si="2"/>
        <v>1465.3787323329441</v>
      </c>
      <c r="H26" s="794">
        <f t="shared" si="2"/>
        <v>0</v>
      </c>
      <c r="I26" s="794">
        <f t="shared" si="2"/>
        <v>0</v>
      </c>
      <c r="J26" s="794">
        <f t="shared" si="2"/>
        <v>0</v>
      </c>
      <c r="K26" s="794">
        <f t="shared" si="2"/>
        <v>30.572015283385845</v>
      </c>
      <c r="L26" s="794">
        <f t="shared" si="2"/>
        <v>0</v>
      </c>
      <c r="M26" s="794">
        <f t="shared" si="2"/>
        <v>0</v>
      </c>
      <c r="N26" s="794">
        <f t="shared" si="2"/>
        <v>0</v>
      </c>
      <c r="O26" s="794">
        <f t="shared" si="2"/>
        <v>0</v>
      </c>
      <c r="P26" s="794">
        <f t="shared" si="2"/>
        <v>0</v>
      </c>
      <c r="Q26" s="794">
        <f t="shared" si="2"/>
        <v>0</v>
      </c>
      <c r="R26" s="794">
        <f t="shared" si="2"/>
        <v>11150.703975983282</v>
      </c>
      <c r="S26" s="67"/>
    </row>
    <row r="27" spans="1:19" s="445" customFormat="1" ht="17.25" thickTop="1" thickBot="1">
      <c r="A27" s="683" t="s">
        <v>115</v>
      </c>
      <c r="B27" s="786"/>
      <c r="C27" s="684">
        <f ca="1">C22+C16+C26</f>
        <v>162364.98036918719</v>
      </c>
      <c r="D27" s="684">
        <f t="shared" ref="D27:R27" ca="1" si="3">D22+D16+D26</f>
        <v>0</v>
      </c>
      <c r="E27" s="684">
        <f t="shared" ca="1" si="3"/>
        <v>358569.70490503119</v>
      </c>
      <c r="F27" s="684">
        <f t="shared" si="3"/>
        <v>3778.0779670174506</v>
      </c>
      <c r="G27" s="684">
        <f t="shared" ca="1" si="3"/>
        <v>60697.180283419118</v>
      </c>
      <c r="H27" s="684">
        <f t="shared" si="3"/>
        <v>246800.38876380623</v>
      </c>
      <c r="I27" s="684">
        <f t="shared" si="3"/>
        <v>31499.692279514184</v>
      </c>
      <c r="J27" s="684">
        <f t="shared" si="3"/>
        <v>0</v>
      </c>
      <c r="K27" s="684">
        <f t="shared" si="3"/>
        <v>1289.5949588022584</v>
      </c>
      <c r="L27" s="684">
        <f t="shared" si="3"/>
        <v>0</v>
      </c>
      <c r="M27" s="684">
        <f t="shared" ca="1" si="3"/>
        <v>0</v>
      </c>
      <c r="N27" s="684">
        <f t="shared" si="3"/>
        <v>12081.126281882856</v>
      </c>
      <c r="O27" s="684">
        <f t="shared" ca="1" si="3"/>
        <v>14134.022519519678</v>
      </c>
      <c r="P27" s="684">
        <f t="shared" si="3"/>
        <v>50.026666666666671</v>
      </c>
      <c r="Q27" s="684">
        <f t="shared" si="3"/>
        <v>114.4</v>
      </c>
      <c r="R27" s="684">
        <f t="shared" ca="1" si="3"/>
        <v>891379.19499484694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9780.3081286288016</v>
      </c>
      <c r="D40" s="676">
        <f ca="1">tertiair!C20</f>
        <v>0</v>
      </c>
      <c r="E40" s="676">
        <f ca="1">tertiair!D20</f>
        <v>8437.4209867474274</v>
      </c>
      <c r="F40" s="676">
        <f>tertiair!E20</f>
        <v>239.03440726479312</v>
      </c>
      <c r="G40" s="676">
        <f ca="1">tertiair!F20</f>
        <v>2193.423742563496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20650.187265204517</v>
      </c>
    </row>
    <row r="41" spans="1:18">
      <c r="A41" s="804" t="s">
        <v>220</v>
      </c>
      <c r="B41" s="811"/>
      <c r="C41" s="676">
        <f ca="1">huishoudens!B12</f>
        <v>7499.8513007742467</v>
      </c>
      <c r="D41" s="676">
        <f ca="1">huishoudens!C12</f>
        <v>0</v>
      </c>
      <c r="E41" s="676">
        <f>huishoudens!D12</f>
        <v>23773.640998299332</v>
      </c>
      <c r="F41" s="676">
        <f>huishoudens!E12</f>
        <v>230.5607568554928</v>
      </c>
      <c r="G41" s="676">
        <f>huishoudens!F12</f>
        <v>9256.8454144171155</v>
      </c>
      <c r="H41" s="676">
        <f>huishoudens!G12</f>
        <v>0</v>
      </c>
      <c r="I41" s="676">
        <f>huishoudens!H12</f>
        <v>0</v>
      </c>
      <c r="J41" s="676">
        <f>huishoudens!I12</f>
        <v>0</v>
      </c>
      <c r="K41" s="676">
        <f>huishoudens!J12</f>
        <v>276.35956647858933</v>
      </c>
      <c r="L41" s="676">
        <f>huishoudens!K12</f>
        <v>0</v>
      </c>
      <c r="M41" s="676">
        <f>huishoudens!L12</f>
        <v>0</v>
      </c>
      <c r="N41" s="676">
        <f>huishoudens!M12</f>
        <v>0</v>
      </c>
      <c r="O41" s="676">
        <f>huishoudens!N12</f>
        <v>0</v>
      </c>
      <c r="P41" s="676">
        <f>huishoudens!O12</f>
        <v>0</v>
      </c>
      <c r="Q41" s="751">
        <f>huishoudens!P12</f>
        <v>0</v>
      </c>
      <c r="R41" s="832">
        <f t="shared" ca="1" si="4"/>
        <v>41037.25803682478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14803.958163313639</v>
      </c>
      <c r="D43" s="676">
        <f ca="1">industrie!C22</f>
        <v>0</v>
      </c>
      <c r="E43" s="676">
        <f>industrie!D22</f>
        <v>38737.368708304602</v>
      </c>
      <c r="F43" s="676">
        <f>industrie!E22</f>
        <v>156.23038972915413</v>
      </c>
      <c r="G43" s="676">
        <f>industrie!F22</f>
        <v>4364.6218571593972</v>
      </c>
      <c r="H43" s="676">
        <f>industrie!G22</f>
        <v>0</v>
      </c>
      <c r="I43" s="676">
        <f>industrie!H22</f>
        <v>0</v>
      </c>
      <c r="J43" s="676">
        <f>industrie!I22</f>
        <v>0</v>
      </c>
      <c r="K43" s="676">
        <f>industrie!J22</f>
        <v>169.3345555270916</v>
      </c>
      <c r="L43" s="676">
        <f>industrie!K22</f>
        <v>0</v>
      </c>
      <c r="M43" s="676">
        <f>industrie!L22</f>
        <v>0</v>
      </c>
      <c r="N43" s="676">
        <f>industrie!M22</f>
        <v>0</v>
      </c>
      <c r="O43" s="676">
        <f>industrie!N22</f>
        <v>0</v>
      </c>
      <c r="P43" s="676">
        <f>industrie!O22</f>
        <v>0</v>
      </c>
      <c r="Q43" s="751">
        <f>industrie!P22</f>
        <v>0</v>
      </c>
      <c r="R43" s="831">
        <f t="shared" ca="1" si="4"/>
        <v>58231.513674033893</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32084.117592716684</v>
      </c>
      <c r="D46" s="709">
        <f t="shared" ref="D46:Q46" ca="1" si="5">SUM(D39:D45)</f>
        <v>0</v>
      </c>
      <c r="E46" s="709">
        <f t="shared" ca="1" si="5"/>
        <v>70948.430693351358</v>
      </c>
      <c r="F46" s="709">
        <f t="shared" si="5"/>
        <v>625.82555384943998</v>
      </c>
      <c r="G46" s="709">
        <f t="shared" ca="1" si="5"/>
        <v>15814.891014140008</v>
      </c>
      <c r="H46" s="709">
        <f t="shared" si="5"/>
        <v>0</v>
      </c>
      <c r="I46" s="709">
        <f t="shared" si="5"/>
        <v>0</v>
      </c>
      <c r="J46" s="709">
        <f t="shared" si="5"/>
        <v>0</v>
      </c>
      <c r="K46" s="709">
        <f t="shared" si="5"/>
        <v>445.69412200568092</v>
      </c>
      <c r="L46" s="709">
        <f t="shared" si="5"/>
        <v>0</v>
      </c>
      <c r="M46" s="709">
        <f t="shared" ca="1" si="5"/>
        <v>0</v>
      </c>
      <c r="N46" s="709">
        <f t="shared" si="5"/>
        <v>0</v>
      </c>
      <c r="O46" s="709">
        <f t="shared" ca="1" si="5"/>
        <v>0</v>
      </c>
      <c r="P46" s="709">
        <f t="shared" si="5"/>
        <v>0</v>
      </c>
      <c r="Q46" s="709">
        <f t="shared" si="5"/>
        <v>0</v>
      </c>
      <c r="R46" s="709">
        <f ca="1">SUM(R39:R45)</f>
        <v>119918.95897606319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2.1299850710571113</v>
      </c>
      <c r="D49" s="676">
        <f ca="1">transport!C58</f>
        <v>0</v>
      </c>
      <c r="E49" s="676">
        <f>transport!D58</f>
        <v>0</v>
      </c>
      <c r="F49" s="676">
        <f>transport!E58</f>
        <v>0</v>
      </c>
      <c r="G49" s="676">
        <f>transport!F58</f>
        <v>0</v>
      </c>
      <c r="H49" s="676">
        <f>transport!G58</f>
        <v>615.37588576178234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617.50587083283949</v>
      </c>
    </row>
    <row r="50" spans="1:18">
      <c r="A50" s="807" t="s">
        <v>302</v>
      </c>
      <c r="B50" s="817"/>
      <c r="C50" s="975">
        <f ca="1">transport!B18</f>
        <v>0.58039575730787851</v>
      </c>
      <c r="D50" s="975">
        <f>transport!C18</f>
        <v>0</v>
      </c>
      <c r="E50" s="975">
        <f>transport!D18</f>
        <v>1.9155589986757451</v>
      </c>
      <c r="F50" s="975">
        <f>transport!E18</f>
        <v>230.98439000162827</v>
      </c>
      <c r="G50" s="975">
        <f>transport!F18</f>
        <v>0</v>
      </c>
      <c r="H50" s="975">
        <f>transport!G18</f>
        <v>65280.327914174486</v>
      </c>
      <c r="I50" s="975">
        <f>transport!H18</f>
        <v>7843.4233775990315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73357.231636531127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2.7103808283649897</v>
      </c>
      <c r="D52" s="709">
        <f t="shared" ref="D52:Q52" ca="1" si="6">SUM(D48:D51)</f>
        <v>0</v>
      </c>
      <c r="E52" s="709">
        <f t="shared" si="6"/>
        <v>1.9155589986757451</v>
      </c>
      <c r="F52" s="709">
        <f t="shared" si="6"/>
        <v>230.98439000162827</v>
      </c>
      <c r="G52" s="709">
        <f t="shared" si="6"/>
        <v>0</v>
      </c>
      <c r="H52" s="709">
        <f t="shared" si="6"/>
        <v>65895.703799936266</v>
      </c>
      <c r="I52" s="709">
        <f t="shared" si="6"/>
        <v>7843.4233775990315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73974.737507363971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68.630304161890351</v>
      </c>
      <c r="D54" s="975">
        <f ca="1">+landbouw!C12</f>
        <v>0</v>
      </c>
      <c r="E54" s="975">
        <f>+landbouw!D12</f>
        <v>34.078977692345219</v>
      </c>
      <c r="F54" s="975">
        <f>+landbouw!E12</f>
        <v>0.8137546618930962</v>
      </c>
      <c r="G54" s="975">
        <f>+landbouw!F12</f>
        <v>391.25612153289609</v>
      </c>
      <c r="H54" s="975">
        <f>+landbouw!G12</f>
        <v>0</v>
      </c>
      <c r="I54" s="975">
        <f>+landbouw!H12</f>
        <v>0</v>
      </c>
      <c r="J54" s="975">
        <f>+landbouw!I12</f>
        <v>0</v>
      </c>
      <c r="K54" s="975">
        <f>+landbouw!J12</f>
        <v>10.822493410318588</v>
      </c>
      <c r="L54" s="975">
        <f>+landbouw!K12</f>
        <v>0</v>
      </c>
      <c r="M54" s="975">
        <f>+landbouw!L12</f>
        <v>0</v>
      </c>
      <c r="N54" s="975">
        <f>+landbouw!M12</f>
        <v>0</v>
      </c>
      <c r="O54" s="975">
        <f>+landbouw!N12</f>
        <v>0</v>
      </c>
      <c r="P54" s="975">
        <f>+landbouw!O12</f>
        <v>0</v>
      </c>
      <c r="Q54" s="976">
        <f>+landbouw!P12</f>
        <v>0</v>
      </c>
      <c r="R54" s="708">
        <f ca="1">SUM(C54:Q54)</f>
        <v>505.60165145934337</v>
      </c>
    </row>
    <row r="55" spans="1:18" ht="15" thickBot="1">
      <c r="A55" s="807" t="s">
        <v>895</v>
      </c>
      <c r="B55" s="817"/>
      <c r="C55" s="975">
        <f ca="1">C25*'EF ele_warmte'!B12</f>
        <v>396.66093754384303</v>
      </c>
      <c r="D55" s="975"/>
      <c r="E55" s="975">
        <f>E25*EF_CO2_aardgas</f>
        <v>1446.6551607739323</v>
      </c>
      <c r="F55" s="975"/>
      <c r="G55" s="975"/>
      <c r="H55" s="975"/>
      <c r="I55" s="975"/>
      <c r="J55" s="975"/>
      <c r="K55" s="975"/>
      <c r="L55" s="975"/>
      <c r="M55" s="975"/>
      <c r="N55" s="975"/>
      <c r="O55" s="975"/>
      <c r="P55" s="975"/>
      <c r="Q55" s="976"/>
      <c r="R55" s="708">
        <f ca="1">SUM(C55:Q55)</f>
        <v>1843.3160983177754</v>
      </c>
    </row>
    <row r="56" spans="1:18" ht="15.75" thickBot="1">
      <c r="A56" s="805" t="s">
        <v>896</v>
      </c>
      <c r="B56" s="818"/>
      <c r="C56" s="709">
        <f ca="1">SUM(C54:C55)</f>
        <v>465.2912417057334</v>
      </c>
      <c r="D56" s="709">
        <f t="shared" ref="D56:Q56" ca="1" si="7">SUM(D54:D55)</f>
        <v>0</v>
      </c>
      <c r="E56" s="709">
        <f t="shared" si="7"/>
        <v>1480.7341384662775</v>
      </c>
      <c r="F56" s="709">
        <f t="shared" si="7"/>
        <v>0.8137546618930962</v>
      </c>
      <c r="G56" s="709">
        <f t="shared" si="7"/>
        <v>391.25612153289609</v>
      </c>
      <c r="H56" s="709">
        <f t="shared" si="7"/>
        <v>0</v>
      </c>
      <c r="I56" s="709">
        <f t="shared" si="7"/>
        <v>0</v>
      </c>
      <c r="J56" s="709">
        <f t="shared" si="7"/>
        <v>0</v>
      </c>
      <c r="K56" s="709">
        <f t="shared" si="7"/>
        <v>10.822493410318588</v>
      </c>
      <c r="L56" s="709">
        <f t="shared" si="7"/>
        <v>0</v>
      </c>
      <c r="M56" s="709">
        <f t="shared" si="7"/>
        <v>0</v>
      </c>
      <c r="N56" s="709">
        <f t="shared" si="7"/>
        <v>0</v>
      </c>
      <c r="O56" s="709">
        <f t="shared" si="7"/>
        <v>0</v>
      </c>
      <c r="P56" s="709">
        <f t="shared" si="7"/>
        <v>0</v>
      </c>
      <c r="Q56" s="710">
        <f t="shared" si="7"/>
        <v>0</v>
      </c>
      <c r="R56" s="711">
        <f ca="1">SUM(R54:R55)</f>
        <v>2348.9177497771188</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32552.119215250783</v>
      </c>
      <c r="D61" s="717">
        <f t="shared" ref="D61:Q61" ca="1" si="8">D46+D52+D56</f>
        <v>0</v>
      </c>
      <c r="E61" s="717">
        <f t="shared" ca="1" si="8"/>
        <v>72431.080390816307</v>
      </c>
      <c r="F61" s="717">
        <f t="shared" si="8"/>
        <v>857.62369851296137</v>
      </c>
      <c r="G61" s="717">
        <f t="shared" ca="1" si="8"/>
        <v>16206.147135672905</v>
      </c>
      <c r="H61" s="717">
        <f t="shared" si="8"/>
        <v>65895.703799936266</v>
      </c>
      <c r="I61" s="717">
        <f t="shared" si="8"/>
        <v>7843.4233775990315</v>
      </c>
      <c r="J61" s="717">
        <f t="shared" si="8"/>
        <v>0</v>
      </c>
      <c r="K61" s="717">
        <f t="shared" si="8"/>
        <v>456.51661541599952</v>
      </c>
      <c r="L61" s="717">
        <f t="shared" si="8"/>
        <v>0</v>
      </c>
      <c r="M61" s="717">
        <f t="shared" ca="1" si="8"/>
        <v>0</v>
      </c>
      <c r="N61" s="717">
        <f t="shared" si="8"/>
        <v>0</v>
      </c>
      <c r="O61" s="717">
        <f t="shared" ca="1" si="8"/>
        <v>0</v>
      </c>
      <c r="P61" s="717">
        <f t="shared" si="8"/>
        <v>0</v>
      </c>
      <c r="Q61" s="717">
        <f t="shared" si="8"/>
        <v>0</v>
      </c>
      <c r="R61" s="717">
        <f ca="1">R46+R52+R56</f>
        <v>196242.61423320428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0.20048731654592902</v>
      </c>
      <c r="D63" s="761">
        <f t="shared" ca="1" si="9"/>
        <v>0</v>
      </c>
      <c r="E63" s="977">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6607.4746365291803</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8462.8486500752879</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15070.323286604467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37408.10855262322</v>
      </c>
      <c r="C4" s="449">
        <f>huishoudens!C8</f>
        <v>0</v>
      </c>
      <c r="D4" s="449">
        <f>huishoudens!D8</f>
        <v>117691.29207078877</v>
      </c>
      <c r="E4" s="449">
        <f>huishoudens!E8</f>
        <v>1015.6861535484264</v>
      </c>
      <c r="F4" s="449">
        <f>huishoudens!F8</f>
        <v>34669.833012798183</v>
      </c>
      <c r="G4" s="449">
        <f>huishoudens!G8</f>
        <v>0</v>
      </c>
      <c r="H4" s="449">
        <f>huishoudens!H8</f>
        <v>0</v>
      </c>
      <c r="I4" s="449">
        <f>huishoudens!I8</f>
        <v>0</v>
      </c>
      <c r="J4" s="449">
        <f>huishoudens!J8</f>
        <v>780.67674146494164</v>
      </c>
      <c r="K4" s="449">
        <f>huishoudens!K8</f>
        <v>0</v>
      </c>
      <c r="L4" s="449">
        <f>huishoudens!L8</f>
        <v>0</v>
      </c>
      <c r="M4" s="449">
        <f>huishoudens!M8</f>
        <v>0</v>
      </c>
      <c r="N4" s="449">
        <f>huishoudens!N8</f>
        <v>11415.923933024547</v>
      </c>
      <c r="O4" s="449">
        <f>huishoudens!O8</f>
        <v>48.463333333333338</v>
      </c>
      <c r="P4" s="450">
        <f>huishoudens!P8</f>
        <v>95.333333333333343</v>
      </c>
      <c r="Q4" s="451">
        <f>SUM(B4:P4)</f>
        <v>203125.31713091477</v>
      </c>
    </row>
    <row r="5" spans="1:17">
      <c r="A5" s="448" t="s">
        <v>155</v>
      </c>
      <c r="B5" s="449">
        <f ca="1">tertiair!B16</f>
        <v>46950.358613365439</v>
      </c>
      <c r="C5" s="449">
        <f ca="1">tertiair!C16</f>
        <v>0</v>
      </c>
      <c r="D5" s="449">
        <f ca="1">tertiair!D16</f>
        <v>41769.410825482315</v>
      </c>
      <c r="E5" s="449">
        <f>tertiair!E16</f>
        <v>1053.0150099770622</v>
      </c>
      <c r="F5" s="449">
        <f ca="1">tertiair!F16</f>
        <v>8215.0701968670255</v>
      </c>
      <c r="G5" s="449">
        <f>tertiair!G16</f>
        <v>0</v>
      </c>
      <c r="H5" s="449">
        <f>tertiair!H16</f>
        <v>0</v>
      </c>
      <c r="I5" s="449">
        <f>tertiair!I16</f>
        <v>0</v>
      </c>
      <c r="J5" s="449">
        <f>tertiair!J16</f>
        <v>0</v>
      </c>
      <c r="K5" s="449">
        <f>tertiair!K16</f>
        <v>0</v>
      </c>
      <c r="L5" s="449">
        <f ca="1">tertiair!L16</f>
        <v>0</v>
      </c>
      <c r="M5" s="449">
        <f>tertiair!M16</f>
        <v>0</v>
      </c>
      <c r="N5" s="449">
        <f ca="1">tertiair!N16</f>
        <v>1237.2898508792148</v>
      </c>
      <c r="O5" s="449">
        <f>tertiair!O16</f>
        <v>1.5633333333333335</v>
      </c>
      <c r="P5" s="450">
        <f>tertiair!P16</f>
        <v>19.066666666666666</v>
      </c>
      <c r="Q5" s="448">
        <f t="shared" ref="Q5:Q14" ca="1" si="0">SUM(B5:P5)</f>
        <v>99245.774496571059</v>
      </c>
    </row>
    <row r="6" spans="1:17">
      <c r="A6" s="448" t="s">
        <v>193</v>
      </c>
      <c r="B6" s="449">
        <f>'openbare verlichting'!B8</f>
        <v>1832.319</v>
      </c>
      <c r="C6" s="449"/>
      <c r="D6" s="449"/>
      <c r="E6" s="449"/>
      <c r="F6" s="449"/>
      <c r="G6" s="449"/>
      <c r="H6" s="449"/>
      <c r="I6" s="449"/>
      <c r="J6" s="449"/>
      <c r="K6" s="449"/>
      <c r="L6" s="449"/>
      <c r="M6" s="449"/>
      <c r="N6" s="449"/>
      <c r="O6" s="449"/>
      <c r="P6" s="450"/>
      <c r="Q6" s="448">
        <f t="shared" si="0"/>
        <v>1832.319</v>
      </c>
    </row>
    <row r="7" spans="1:17">
      <c r="A7" s="448" t="s">
        <v>111</v>
      </c>
      <c r="B7" s="449">
        <f>landbouw!B8</f>
        <v>342.31743605669959</v>
      </c>
      <c r="C7" s="449">
        <f>landbouw!C8</f>
        <v>0</v>
      </c>
      <c r="D7" s="449">
        <f>landbouw!D8</f>
        <v>168.70781035814463</v>
      </c>
      <c r="E7" s="449">
        <f>landbouw!E8</f>
        <v>3.5848222990885295</v>
      </c>
      <c r="F7" s="449">
        <f>landbouw!F8</f>
        <v>1465.3787323329441</v>
      </c>
      <c r="G7" s="449">
        <f>landbouw!G8</f>
        <v>0</v>
      </c>
      <c r="H7" s="449">
        <f>landbouw!H8</f>
        <v>0</v>
      </c>
      <c r="I7" s="449">
        <f>landbouw!I8</f>
        <v>0</v>
      </c>
      <c r="J7" s="449">
        <f>landbouw!J8</f>
        <v>30.572015283385845</v>
      </c>
      <c r="K7" s="449">
        <f>landbouw!K8</f>
        <v>0</v>
      </c>
      <c r="L7" s="449">
        <f>landbouw!L8</f>
        <v>0</v>
      </c>
      <c r="M7" s="449">
        <f>landbouw!M8</f>
        <v>0</v>
      </c>
      <c r="N7" s="449">
        <f>landbouw!N8</f>
        <v>0</v>
      </c>
      <c r="O7" s="449">
        <f>landbouw!O8</f>
        <v>0</v>
      </c>
      <c r="P7" s="450">
        <f>landbouw!P8</f>
        <v>0</v>
      </c>
      <c r="Q7" s="448">
        <f t="shared" si="0"/>
        <v>2010.5608163302625</v>
      </c>
    </row>
    <row r="8" spans="1:17">
      <c r="A8" s="448" t="s">
        <v>643</v>
      </c>
      <c r="B8" s="449">
        <f>industrie!B18</f>
        <v>73839.8738551735</v>
      </c>
      <c r="C8" s="449">
        <f>industrie!C18</f>
        <v>0</v>
      </c>
      <c r="D8" s="449">
        <f>industrie!D18</f>
        <v>191769.15202130991</v>
      </c>
      <c r="E8" s="449">
        <f>industrie!E18</f>
        <v>688.23960233107539</v>
      </c>
      <c r="F8" s="449">
        <f>industrie!F18</f>
        <v>16346.898341420963</v>
      </c>
      <c r="G8" s="449">
        <f>industrie!G18</f>
        <v>0</v>
      </c>
      <c r="H8" s="449">
        <f>industrie!H18</f>
        <v>0</v>
      </c>
      <c r="I8" s="449">
        <f>industrie!I18</f>
        <v>0</v>
      </c>
      <c r="J8" s="449">
        <f>industrie!J18</f>
        <v>478.34620205393105</v>
      </c>
      <c r="K8" s="449">
        <f>industrie!K18</f>
        <v>0</v>
      </c>
      <c r="L8" s="449">
        <f>industrie!L18</f>
        <v>0</v>
      </c>
      <c r="M8" s="449">
        <f>industrie!M18</f>
        <v>0</v>
      </c>
      <c r="N8" s="449">
        <f>industrie!N18</f>
        <v>1480.8087356159165</v>
      </c>
      <c r="O8" s="449">
        <f>industrie!O18</f>
        <v>0</v>
      </c>
      <c r="P8" s="450">
        <f>industrie!P18</f>
        <v>0</v>
      </c>
      <c r="Q8" s="448">
        <f t="shared" si="0"/>
        <v>284603.31875790533</v>
      </c>
    </row>
    <row r="9" spans="1:17" s="454" customFormat="1">
      <c r="A9" s="452" t="s">
        <v>562</v>
      </c>
      <c r="B9" s="453">
        <f>transport!B14</f>
        <v>2.8949250621293912</v>
      </c>
      <c r="C9" s="453">
        <f>transport!C14</f>
        <v>0</v>
      </c>
      <c r="D9" s="453">
        <f>transport!D14</f>
        <v>9.4829653399789358</v>
      </c>
      <c r="E9" s="453">
        <f>transport!E14</f>
        <v>1017.5523788617985</v>
      </c>
      <c r="F9" s="453">
        <f>transport!F14</f>
        <v>0</v>
      </c>
      <c r="G9" s="453">
        <f>transport!G14</f>
        <v>244495.61016544749</v>
      </c>
      <c r="H9" s="453">
        <f>transport!H14</f>
        <v>31499.692279514184</v>
      </c>
      <c r="I9" s="453">
        <f>transport!I14</f>
        <v>0</v>
      </c>
      <c r="J9" s="453">
        <f>transport!J14</f>
        <v>0</v>
      </c>
      <c r="K9" s="453">
        <f>transport!K14</f>
        <v>0</v>
      </c>
      <c r="L9" s="453">
        <f>transport!L14</f>
        <v>0</v>
      </c>
      <c r="M9" s="453">
        <f>transport!M14</f>
        <v>11982.444515529685</v>
      </c>
      <c r="N9" s="453">
        <f>transport!N14</f>
        <v>0</v>
      </c>
      <c r="O9" s="453">
        <f>transport!O14</f>
        <v>0</v>
      </c>
      <c r="P9" s="453">
        <f>transport!P14</f>
        <v>0</v>
      </c>
      <c r="Q9" s="452">
        <f>SUM(B9:P9)</f>
        <v>289007.67722975527</v>
      </c>
    </row>
    <row r="10" spans="1:17">
      <c r="A10" s="448" t="s">
        <v>552</v>
      </c>
      <c r="B10" s="449">
        <f>transport!B54</f>
        <v>10.624039005326104</v>
      </c>
      <c r="C10" s="449">
        <f>transport!C54</f>
        <v>0</v>
      </c>
      <c r="D10" s="449">
        <f>transport!D54</f>
        <v>0</v>
      </c>
      <c r="E10" s="449">
        <f>transport!E54</f>
        <v>0</v>
      </c>
      <c r="F10" s="449">
        <f>transport!F54</f>
        <v>0</v>
      </c>
      <c r="G10" s="449">
        <f>transport!G54</f>
        <v>2304.7785983587351</v>
      </c>
      <c r="H10" s="449">
        <f>transport!H54</f>
        <v>0</v>
      </c>
      <c r="I10" s="449">
        <f>transport!I54</f>
        <v>0</v>
      </c>
      <c r="J10" s="449">
        <f>transport!J54</f>
        <v>0</v>
      </c>
      <c r="K10" s="449">
        <f>transport!K54</f>
        <v>0</v>
      </c>
      <c r="L10" s="449">
        <f>transport!L54</f>
        <v>0</v>
      </c>
      <c r="M10" s="449">
        <f>transport!M54</f>
        <v>98.681766353170957</v>
      </c>
      <c r="N10" s="449">
        <f>transport!N54</f>
        <v>0</v>
      </c>
      <c r="O10" s="449">
        <f>transport!O54</f>
        <v>0</v>
      </c>
      <c r="P10" s="450">
        <f>transport!P54</f>
        <v>0</v>
      </c>
      <c r="Q10" s="448">
        <f t="shared" si="0"/>
        <v>2414.0844037172324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1978.4839479008799</v>
      </c>
      <c r="C14" s="456"/>
      <c r="D14" s="456">
        <f>'SEAP template'!E25</f>
        <v>7161.6592117521395</v>
      </c>
      <c r="E14" s="456"/>
      <c r="F14" s="456"/>
      <c r="G14" s="456"/>
      <c r="H14" s="456"/>
      <c r="I14" s="456"/>
      <c r="J14" s="456"/>
      <c r="K14" s="456"/>
      <c r="L14" s="456"/>
      <c r="M14" s="456"/>
      <c r="N14" s="456"/>
      <c r="O14" s="456"/>
      <c r="P14" s="457"/>
      <c r="Q14" s="448">
        <f t="shared" si="0"/>
        <v>9140.1431596530201</v>
      </c>
    </row>
    <row r="15" spans="1:17" s="461" customFormat="1">
      <c r="A15" s="458" t="s">
        <v>556</v>
      </c>
      <c r="B15" s="459">
        <f ca="1">SUM(B4:B14)</f>
        <v>162364.98036918719</v>
      </c>
      <c r="C15" s="459">
        <f t="shared" ref="C15:Q15" ca="1" si="1">SUM(C4:C14)</f>
        <v>0</v>
      </c>
      <c r="D15" s="459">
        <f t="shared" ca="1" si="1"/>
        <v>358569.70490503119</v>
      </c>
      <c r="E15" s="459">
        <f t="shared" si="1"/>
        <v>3778.0779670174506</v>
      </c>
      <c r="F15" s="459">
        <f t="shared" ca="1" si="1"/>
        <v>60697.180283419118</v>
      </c>
      <c r="G15" s="459">
        <f t="shared" si="1"/>
        <v>246800.38876380623</v>
      </c>
      <c r="H15" s="459">
        <f t="shared" si="1"/>
        <v>31499.692279514184</v>
      </c>
      <c r="I15" s="459">
        <f t="shared" si="1"/>
        <v>0</v>
      </c>
      <c r="J15" s="459">
        <f t="shared" si="1"/>
        <v>1289.5949588022586</v>
      </c>
      <c r="K15" s="459">
        <f t="shared" si="1"/>
        <v>0</v>
      </c>
      <c r="L15" s="459">
        <f t="shared" ca="1" si="1"/>
        <v>0</v>
      </c>
      <c r="M15" s="459">
        <f t="shared" si="1"/>
        <v>12081.126281882856</v>
      </c>
      <c r="N15" s="459">
        <f t="shared" ca="1" si="1"/>
        <v>14134.022519519678</v>
      </c>
      <c r="O15" s="459">
        <f t="shared" si="1"/>
        <v>50.026666666666671</v>
      </c>
      <c r="P15" s="459">
        <f t="shared" si="1"/>
        <v>114.4</v>
      </c>
      <c r="Q15" s="459">
        <f t="shared" ca="1" si="1"/>
        <v>891379.19499484706</v>
      </c>
    </row>
    <row r="17" spans="1:17">
      <c r="A17" s="462" t="s">
        <v>557</v>
      </c>
      <c r="B17" s="766">
        <f ca="1">huishoudens!B10</f>
        <v>0.20048731654592902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7499.8513007742467</v>
      </c>
      <c r="C22" s="449">
        <f t="shared" ref="C22:C32" ca="1" si="3">C4*$C$17</f>
        <v>0</v>
      </c>
      <c r="D22" s="449">
        <f t="shared" ref="D22:D32" si="4">D4*$D$17</f>
        <v>23773.640998299332</v>
      </c>
      <c r="E22" s="449">
        <f t="shared" ref="E22:E32" si="5">E4*$E$17</f>
        <v>230.5607568554928</v>
      </c>
      <c r="F22" s="449">
        <f t="shared" ref="F22:F32" si="6">F4*$F$17</f>
        <v>9256.8454144171155</v>
      </c>
      <c r="G22" s="449">
        <f t="shared" ref="G22:G32" si="7">G4*$G$17</f>
        <v>0</v>
      </c>
      <c r="H22" s="449">
        <f t="shared" ref="H22:H32" si="8">H4*$H$17</f>
        <v>0</v>
      </c>
      <c r="I22" s="449">
        <f t="shared" ref="I22:I32" si="9">I4*$I$17</f>
        <v>0</v>
      </c>
      <c r="J22" s="449">
        <f t="shared" ref="J22:J32" si="10">J4*$J$17</f>
        <v>276.35956647858933</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41037.25803682478</v>
      </c>
    </row>
    <row r="23" spans="1:17">
      <c r="A23" s="448" t="s">
        <v>155</v>
      </c>
      <c r="B23" s="449">
        <f t="shared" ca="1" si="2"/>
        <v>9412.9514092626814</v>
      </c>
      <c r="C23" s="449">
        <f t="shared" ca="1" si="3"/>
        <v>0</v>
      </c>
      <c r="D23" s="449">
        <f t="shared" ca="1" si="4"/>
        <v>8437.4209867474274</v>
      </c>
      <c r="E23" s="449">
        <f t="shared" si="5"/>
        <v>239.03440726479312</v>
      </c>
      <c r="F23" s="449">
        <f t="shared" ca="1" si="6"/>
        <v>2193.423742563496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20282.830545838398</v>
      </c>
    </row>
    <row r="24" spans="1:17">
      <c r="A24" s="448" t="s">
        <v>193</v>
      </c>
      <c r="B24" s="449">
        <f t="shared" ca="1" si="2"/>
        <v>367.3567193661201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367.3567193661201</v>
      </c>
    </row>
    <row r="25" spans="1:17">
      <c r="A25" s="448" t="s">
        <v>111</v>
      </c>
      <c r="B25" s="449">
        <f t="shared" ca="1" si="2"/>
        <v>68.630304161890351</v>
      </c>
      <c r="C25" s="449">
        <f t="shared" ca="1" si="3"/>
        <v>0</v>
      </c>
      <c r="D25" s="449">
        <f t="shared" si="4"/>
        <v>34.078977692345219</v>
      </c>
      <c r="E25" s="449">
        <f t="shared" si="5"/>
        <v>0.8137546618930962</v>
      </c>
      <c r="F25" s="449">
        <f t="shared" si="6"/>
        <v>391.25612153289609</v>
      </c>
      <c r="G25" s="449">
        <f t="shared" si="7"/>
        <v>0</v>
      </c>
      <c r="H25" s="449">
        <f t="shared" si="8"/>
        <v>0</v>
      </c>
      <c r="I25" s="449">
        <f t="shared" si="9"/>
        <v>0</v>
      </c>
      <c r="J25" s="449">
        <f t="shared" si="10"/>
        <v>10.822493410318588</v>
      </c>
      <c r="K25" s="449">
        <f t="shared" si="11"/>
        <v>0</v>
      </c>
      <c r="L25" s="449">
        <f t="shared" si="12"/>
        <v>0</v>
      </c>
      <c r="M25" s="449">
        <f t="shared" si="13"/>
        <v>0</v>
      </c>
      <c r="N25" s="449">
        <f t="shared" si="14"/>
        <v>0</v>
      </c>
      <c r="O25" s="449">
        <f t="shared" si="15"/>
        <v>0</v>
      </c>
      <c r="P25" s="450">
        <f t="shared" si="16"/>
        <v>0</v>
      </c>
      <c r="Q25" s="448">
        <f t="shared" ca="1" si="17"/>
        <v>505.60165145934337</v>
      </c>
    </row>
    <row r="26" spans="1:17">
      <c r="A26" s="448" t="s">
        <v>643</v>
      </c>
      <c r="B26" s="449">
        <f t="shared" ca="1" si="2"/>
        <v>14803.958163313639</v>
      </c>
      <c r="C26" s="449">
        <f t="shared" ca="1" si="3"/>
        <v>0</v>
      </c>
      <c r="D26" s="449">
        <f t="shared" si="4"/>
        <v>38737.368708304602</v>
      </c>
      <c r="E26" s="449">
        <f t="shared" si="5"/>
        <v>156.23038972915413</v>
      </c>
      <c r="F26" s="449">
        <f t="shared" si="6"/>
        <v>4364.6218571593972</v>
      </c>
      <c r="G26" s="449">
        <f t="shared" si="7"/>
        <v>0</v>
      </c>
      <c r="H26" s="449">
        <f t="shared" si="8"/>
        <v>0</v>
      </c>
      <c r="I26" s="449">
        <f t="shared" si="9"/>
        <v>0</v>
      </c>
      <c r="J26" s="449">
        <f t="shared" si="10"/>
        <v>169.3345555270916</v>
      </c>
      <c r="K26" s="449">
        <f t="shared" si="11"/>
        <v>0</v>
      </c>
      <c r="L26" s="449">
        <f t="shared" si="12"/>
        <v>0</v>
      </c>
      <c r="M26" s="449">
        <f t="shared" si="13"/>
        <v>0</v>
      </c>
      <c r="N26" s="449">
        <f t="shared" si="14"/>
        <v>0</v>
      </c>
      <c r="O26" s="449">
        <f t="shared" si="15"/>
        <v>0</v>
      </c>
      <c r="P26" s="450">
        <f t="shared" si="16"/>
        <v>0</v>
      </c>
      <c r="Q26" s="448">
        <f t="shared" ca="1" si="17"/>
        <v>58231.513674033893</v>
      </c>
    </row>
    <row r="27" spans="1:17" s="454" customFormat="1">
      <c r="A27" s="452" t="s">
        <v>562</v>
      </c>
      <c r="B27" s="760">
        <f t="shared" ca="1" si="2"/>
        <v>0.58039575730787851</v>
      </c>
      <c r="C27" s="453">
        <f t="shared" ca="1" si="3"/>
        <v>0</v>
      </c>
      <c r="D27" s="453">
        <f t="shared" si="4"/>
        <v>1.9155589986757451</v>
      </c>
      <c r="E27" s="453">
        <f t="shared" si="5"/>
        <v>230.98439000162827</v>
      </c>
      <c r="F27" s="453">
        <f t="shared" si="6"/>
        <v>0</v>
      </c>
      <c r="G27" s="453">
        <f t="shared" si="7"/>
        <v>65280.327914174486</v>
      </c>
      <c r="H27" s="453">
        <f t="shared" si="8"/>
        <v>7843.4233775990315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73357.231636531127</v>
      </c>
    </row>
    <row r="28" spans="1:17">
      <c r="A28" s="448" t="s">
        <v>552</v>
      </c>
      <c r="B28" s="449">
        <f t="shared" ca="1" si="2"/>
        <v>2.1299850710571113</v>
      </c>
      <c r="C28" s="449">
        <f t="shared" ca="1" si="3"/>
        <v>0</v>
      </c>
      <c r="D28" s="449">
        <f t="shared" si="4"/>
        <v>0</v>
      </c>
      <c r="E28" s="449">
        <f t="shared" si="5"/>
        <v>0</v>
      </c>
      <c r="F28" s="449">
        <f t="shared" si="6"/>
        <v>0</v>
      </c>
      <c r="G28" s="449">
        <f t="shared" si="7"/>
        <v>615.37588576178234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617.50587083283949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396.66093754384303</v>
      </c>
      <c r="C32" s="449">
        <f t="shared" ca="1" si="3"/>
        <v>0</v>
      </c>
      <c r="D32" s="449">
        <f t="shared" si="4"/>
        <v>1446.6551607739323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1843.3160983177754</v>
      </c>
    </row>
    <row r="33" spans="1:17" s="461" customFormat="1">
      <c r="A33" s="458" t="s">
        <v>556</v>
      </c>
      <c r="B33" s="459">
        <f ca="1">SUM(B22:B32)</f>
        <v>32552.119215250787</v>
      </c>
      <c r="C33" s="459">
        <f t="shared" ref="C33:Q33" ca="1" si="19">SUM(C22:C32)</f>
        <v>0</v>
      </c>
      <c r="D33" s="459">
        <f t="shared" ca="1" si="19"/>
        <v>72431.080390816322</v>
      </c>
      <c r="E33" s="459">
        <f t="shared" si="19"/>
        <v>857.62369851296148</v>
      </c>
      <c r="F33" s="459">
        <f t="shared" ca="1" si="19"/>
        <v>16206.147135672905</v>
      </c>
      <c r="G33" s="459">
        <f t="shared" si="19"/>
        <v>65895.703799936266</v>
      </c>
      <c r="H33" s="459">
        <f t="shared" si="19"/>
        <v>7843.4233775990315</v>
      </c>
      <c r="I33" s="459">
        <f t="shared" si="19"/>
        <v>0</v>
      </c>
      <c r="J33" s="459">
        <f t="shared" si="19"/>
        <v>456.51661541599952</v>
      </c>
      <c r="K33" s="459">
        <f t="shared" si="19"/>
        <v>0</v>
      </c>
      <c r="L33" s="459">
        <f t="shared" ca="1" si="19"/>
        <v>0</v>
      </c>
      <c r="M33" s="459">
        <f t="shared" si="19"/>
        <v>0</v>
      </c>
      <c r="N33" s="459">
        <f t="shared" ca="1" si="19"/>
        <v>0</v>
      </c>
      <c r="O33" s="459">
        <f t="shared" si="19"/>
        <v>0</v>
      </c>
      <c r="P33" s="459">
        <f t="shared" si="19"/>
        <v>0</v>
      </c>
      <c r="Q33" s="459">
        <f t="shared" ca="1" si="19"/>
        <v>196242.61423320425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6607.4746365291803</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8462.8486500752879</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15070.323286604467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0.20048731654592902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0.20048731654592902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0.20048731654592902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0.20048731654592902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10075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698</v>
      </c>
      <c r="C14" s="326"/>
      <c r="D14" s="326"/>
      <c r="E14" s="326"/>
      <c r="F14" s="326"/>
    </row>
    <row r="15" spans="1:6">
      <c r="A15" s="1282" t="s">
        <v>183</v>
      </c>
      <c r="B15" s="1283">
        <v>5</v>
      </c>
      <c r="C15" s="326"/>
      <c r="D15" s="326"/>
      <c r="E15" s="326"/>
      <c r="F15" s="326"/>
    </row>
    <row r="16" spans="1:6">
      <c r="A16" s="1282" t="s">
        <v>6</v>
      </c>
      <c r="B16" s="1283">
        <v>276</v>
      </c>
      <c r="C16" s="326"/>
      <c r="D16" s="326"/>
      <c r="E16" s="326"/>
      <c r="F16" s="326"/>
    </row>
    <row r="17" spans="1:6">
      <c r="A17" s="1282" t="s">
        <v>7</v>
      </c>
      <c r="B17" s="1283">
        <v>180</v>
      </c>
      <c r="C17" s="326"/>
      <c r="D17" s="326"/>
      <c r="E17" s="326"/>
      <c r="F17" s="326"/>
    </row>
    <row r="18" spans="1:6">
      <c r="A18" s="1282" t="s">
        <v>8</v>
      </c>
      <c r="B18" s="1283">
        <v>300</v>
      </c>
      <c r="C18" s="326"/>
      <c r="D18" s="326"/>
      <c r="E18" s="326"/>
      <c r="F18" s="326"/>
    </row>
    <row r="19" spans="1:6">
      <c r="A19" s="1282" t="s">
        <v>9</v>
      </c>
      <c r="B19" s="1283">
        <v>269</v>
      </c>
      <c r="C19" s="326"/>
      <c r="D19" s="326"/>
      <c r="E19" s="326"/>
      <c r="F19" s="326"/>
    </row>
    <row r="20" spans="1:6">
      <c r="A20" s="1282" t="s">
        <v>10</v>
      </c>
      <c r="B20" s="1283">
        <v>251</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8</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1</v>
      </c>
      <c r="C29" s="332"/>
      <c r="D29" s="332"/>
      <c r="E29" s="332"/>
      <c r="F29" s="332"/>
    </row>
    <row r="30" spans="1:6">
      <c r="A30" s="1277" t="s">
        <v>979</v>
      </c>
      <c r="B30" s="1286">
        <v>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8</v>
      </c>
      <c r="F36" s="1283">
        <v>12875.609671074</v>
      </c>
    </row>
    <row r="37" spans="1:6">
      <c r="A37" s="1282" t="s">
        <v>24</v>
      </c>
      <c r="B37" s="1282" t="s">
        <v>27</v>
      </c>
      <c r="C37" s="1283">
        <v>0</v>
      </c>
      <c r="D37" s="1283">
        <v>0</v>
      </c>
      <c r="E37" s="1283">
        <v>0</v>
      </c>
      <c r="F37" s="1283">
        <v>0</v>
      </c>
    </row>
    <row r="38" spans="1:6">
      <c r="A38" s="1282" t="s">
        <v>24</v>
      </c>
      <c r="B38" s="1282" t="s">
        <v>28</v>
      </c>
      <c r="C38" s="1283">
        <v>2</v>
      </c>
      <c r="D38" s="1283">
        <v>112652.050968318</v>
      </c>
      <c r="E38" s="1283">
        <v>3</v>
      </c>
      <c r="F38" s="1283">
        <v>105782.309599575</v>
      </c>
    </row>
    <row r="39" spans="1:6">
      <c r="A39" s="1282" t="s">
        <v>29</v>
      </c>
      <c r="B39" s="1282" t="s">
        <v>30</v>
      </c>
      <c r="C39" s="1283">
        <v>8385</v>
      </c>
      <c r="D39" s="1283">
        <v>130478150.854533</v>
      </c>
      <c r="E39" s="1283">
        <v>10040</v>
      </c>
      <c r="F39" s="1283">
        <v>36166258.116186202</v>
      </c>
    </row>
    <row r="40" spans="1:6">
      <c r="A40" s="1282" t="s">
        <v>29</v>
      </c>
      <c r="B40" s="1282" t="s">
        <v>28</v>
      </c>
      <c r="C40" s="1283">
        <v>0</v>
      </c>
      <c r="D40" s="1283">
        <v>0</v>
      </c>
      <c r="E40" s="1283">
        <v>0</v>
      </c>
      <c r="F40" s="1283">
        <v>0</v>
      </c>
    </row>
    <row r="41" spans="1:6">
      <c r="A41" s="1282" t="s">
        <v>31</v>
      </c>
      <c r="B41" s="1282" t="s">
        <v>32</v>
      </c>
      <c r="C41" s="1283">
        <v>49</v>
      </c>
      <c r="D41" s="1283">
        <v>1082016.96733607</v>
      </c>
      <c r="E41" s="1283">
        <v>277</v>
      </c>
      <c r="F41" s="1283">
        <v>2838879.52356725</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7060828.0007995302</v>
      </c>
      <c r="E44" s="1283">
        <v>6</v>
      </c>
      <c r="F44" s="1283">
        <v>226713.904066641</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4</v>
      </c>
      <c r="F47" s="1283">
        <v>5790.3338444890996</v>
      </c>
    </row>
    <row r="48" spans="1:6">
      <c r="A48" s="1282" t="s">
        <v>31</v>
      </c>
      <c r="B48" s="1282" t="s">
        <v>28</v>
      </c>
      <c r="C48" s="1283">
        <v>39</v>
      </c>
      <c r="D48" s="1283">
        <v>203847032.409758</v>
      </c>
      <c r="E48" s="1283">
        <v>51</v>
      </c>
      <c r="F48" s="1283">
        <v>69584181.975020707</v>
      </c>
    </row>
    <row r="49" spans="1:6">
      <c r="A49" s="1282" t="s">
        <v>31</v>
      </c>
      <c r="B49" s="1282" t="s">
        <v>39</v>
      </c>
      <c r="C49" s="1283">
        <v>0</v>
      </c>
      <c r="D49" s="1283">
        <v>0</v>
      </c>
      <c r="E49" s="1283">
        <v>0</v>
      </c>
      <c r="F49" s="1283">
        <v>0</v>
      </c>
    </row>
    <row r="50" spans="1:6">
      <c r="A50" s="1282" t="s">
        <v>31</v>
      </c>
      <c r="B50" s="1282" t="s">
        <v>40</v>
      </c>
      <c r="C50" s="1283">
        <v>11</v>
      </c>
      <c r="D50" s="1283">
        <v>614504.02045438695</v>
      </c>
      <c r="E50" s="1283">
        <v>16</v>
      </c>
      <c r="F50" s="1283">
        <v>1184308.1186744201</v>
      </c>
    </row>
    <row r="51" spans="1:6">
      <c r="A51" s="1282" t="s">
        <v>41</v>
      </c>
      <c r="B51" s="1282" t="s">
        <v>42</v>
      </c>
      <c r="C51" s="1283">
        <v>3</v>
      </c>
      <c r="D51" s="1283">
        <v>64429.424738682399</v>
      </c>
      <c r="E51" s="1283">
        <v>28</v>
      </c>
      <c r="F51" s="1283">
        <v>282910.54808165698</v>
      </c>
    </row>
    <row r="52" spans="1:6">
      <c r="A52" s="1282" t="s">
        <v>41</v>
      </c>
      <c r="B52" s="1282" t="s">
        <v>28</v>
      </c>
      <c r="C52" s="1283">
        <v>5</v>
      </c>
      <c r="D52" s="1283">
        <v>122608.059028662</v>
      </c>
      <c r="E52" s="1283">
        <v>4</v>
      </c>
      <c r="F52" s="1283">
        <v>59406.887975042599</v>
      </c>
    </row>
    <row r="53" spans="1:6">
      <c r="A53" s="1282" t="s">
        <v>43</v>
      </c>
      <c r="B53" s="1282" t="s">
        <v>44</v>
      </c>
      <c r="C53" s="1283">
        <v>326</v>
      </c>
      <c r="D53" s="1283">
        <v>7161659.21175214</v>
      </c>
      <c r="E53" s="1283">
        <v>465</v>
      </c>
      <c r="F53" s="1283">
        <v>1978483.9479008799</v>
      </c>
    </row>
    <row r="54" spans="1:6">
      <c r="A54" s="1282" t="s">
        <v>45</v>
      </c>
      <c r="B54" s="1282" t="s">
        <v>46</v>
      </c>
      <c r="C54" s="1283">
        <v>0</v>
      </c>
      <c r="D54" s="1283">
        <v>0</v>
      </c>
      <c r="E54" s="1283">
        <v>1</v>
      </c>
      <c r="F54" s="1283">
        <v>1832319</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46</v>
      </c>
      <c r="D57" s="1283">
        <v>1510662.6464192099</v>
      </c>
      <c r="E57" s="1283">
        <v>106</v>
      </c>
      <c r="F57" s="1283">
        <v>4117588.9187622601</v>
      </c>
    </row>
    <row r="58" spans="1:6">
      <c r="A58" s="1282" t="s">
        <v>48</v>
      </c>
      <c r="B58" s="1282" t="s">
        <v>50</v>
      </c>
      <c r="C58" s="1283">
        <v>37</v>
      </c>
      <c r="D58" s="1283">
        <v>2587602.7690052101</v>
      </c>
      <c r="E58" s="1283">
        <v>39</v>
      </c>
      <c r="F58" s="1283">
        <v>1326342.3592527099</v>
      </c>
    </row>
    <row r="59" spans="1:6">
      <c r="A59" s="1282" t="s">
        <v>48</v>
      </c>
      <c r="B59" s="1282" t="s">
        <v>51</v>
      </c>
      <c r="C59" s="1283">
        <v>135</v>
      </c>
      <c r="D59" s="1283">
        <v>9255029.6336360108</v>
      </c>
      <c r="E59" s="1283">
        <v>262</v>
      </c>
      <c r="F59" s="1283">
        <v>13706239.1778432</v>
      </c>
    </row>
    <row r="60" spans="1:6">
      <c r="A60" s="1282" t="s">
        <v>48</v>
      </c>
      <c r="B60" s="1282" t="s">
        <v>52</v>
      </c>
      <c r="C60" s="1283">
        <v>54</v>
      </c>
      <c r="D60" s="1283">
        <v>1928039.94655692</v>
      </c>
      <c r="E60" s="1283">
        <v>77</v>
      </c>
      <c r="F60" s="1283">
        <v>2252474.2490715799</v>
      </c>
    </row>
    <row r="61" spans="1:6">
      <c r="A61" s="1282" t="s">
        <v>48</v>
      </c>
      <c r="B61" s="1282" t="s">
        <v>53</v>
      </c>
      <c r="C61" s="1283">
        <v>244</v>
      </c>
      <c r="D61" s="1283">
        <v>18196806.084051698</v>
      </c>
      <c r="E61" s="1283">
        <v>399</v>
      </c>
      <c r="F61" s="1283">
        <v>21472068.579051401</v>
      </c>
    </row>
    <row r="62" spans="1:6">
      <c r="A62" s="1282" t="s">
        <v>48</v>
      </c>
      <c r="B62" s="1282" t="s">
        <v>54</v>
      </c>
      <c r="C62" s="1283">
        <v>16</v>
      </c>
      <c r="D62" s="1283">
        <v>3298282.8245242699</v>
      </c>
      <c r="E62" s="1283">
        <v>22</v>
      </c>
      <c r="F62" s="1283">
        <v>439403.44154243002</v>
      </c>
    </row>
    <row r="63" spans="1:6">
      <c r="A63" s="1282" t="s">
        <v>48</v>
      </c>
      <c r="B63" s="1282" t="s">
        <v>28</v>
      </c>
      <c r="C63" s="1283">
        <v>101</v>
      </c>
      <c r="D63" s="1283">
        <v>9531126.9001107998</v>
      </c>
      <c r="E63" s="1283">
        <v>91</v>
      </c>
      <c r="F63" s="1283">
        <v>3636241.8878418598</v>
      </c>
    </row>
    <row r="64" spans="1:6">
      <c r="A64" s="1282" t="s">
        <v>55</v>
      </c>
      <c r="B64" s="1282" t="s">
        <v>56</v>
      </c>
      <c r="C64" s="1283">
        <v>0</v>
      </c>
      <c r="D64" s="1283">
        <v>0</v>
      </c>
      <c r="E64" s="1283">
        <v>0</v>
      </c>
      <c r="F64" s="1283">
        <v>0</v>
      </c>
    </row>
    <row r="65" spans="1:6">
      <c r="A65" s="1282" t="s">
        <v>55</v>
      </c>
      <c r="B65" s="1282" t="s">
        <v>28</v>
      </c>
      <c r="C65" s="1283">
        <v>3</v>
      </c>
      <c r="D65" s="1283">
        <v>78522.015668634194</v>
      </c>
      <c r="E65" s="1283">
        <v>1</v>
      </c>
      <c r="F65" s="1283">
        <v>10856</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6</v>
      </c>
      <c r="D68" s="1286">
        <v>1661917.5317919401</v>
      </c>
      <c r="E68" s="1286">
        <v>18</v>
      </c>
      <c r="F68" s="1286">
        <v>1586733.2876581801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147096597</v>
      </c>
      <c r="E73" s="447"/>
      <c r="F73" s="326"/>
    </row>
    <row r="74" spans="1:6">
      <c r="A74" s="1282" t="s">
        <v>63</v>
      </c>
      <c r="B74" s="1282" t="s">
        <v>760</v>
      </c>
      <c r="C74" s="1296" t="s">
        <v>761</v>
      </c>
      <c r="D74" s="1297">
        <v>27826618.459555779</v>
      </c>
      <c r="E74" s="447"/>
      <c r="F74" s="326"/>
    </row>
    <row r="75" spans="1:6">
      <c r="A75" s="1282" t="s">
        <v>64</v>
      </c>
      <c r="B75" s="1282" t="s">
        <v>758</v>
      </c>
      <c r="C75" s="1296" t="s">
        <v>762</v>
      </c>
      <c r="D75" s="1297">
        <v>47104816</v>
      </c>
      <c r="E75" s="447"/>
      <c r="F75" s="326"/>
    </row>
    <row r="76" spans="1:6">
      <c r="A76" s="1282" t="s">
        <v>64</v>
      </c>
      <c r="B76" s="1282" t="s">
        <v>760</v>
      </c>
      <c r="C76" s="1296" t="s">
        <v>763</v>
      </c>
      <c r="D76" s="1297">
        <v>5734266.4595557777</v>
      </c>
      <c r="E76" s="447"/>
      <c r="F76" s="326"/>
    </row>
    <row r="77" spans="1:6">
      <c r="A77" s="1282" t="s">
        <v>65</v>
      </c>
      <c r="B77" s="1282" t="s">
        <v>758</v>
      </c>
      <c r="C77" s="1296" t="s">
        <v>764</v>
      </c>
      <c r="D77" s="1297">
        <v>57399893</v>
      </c>
      <c r="E77" s="447"/>
      <c r="F77" s="326"/>
    </row>
    <row r="78" spans="1:6">
      <c r="A78" s="1277" t="s">
        <v>65</v>
      </c>
      <c r="B78" s="1277" t="s">
        <v>760</v>
      </c>
      <c r="C78" s="1277" t="s">
        <v>765</v>
      </c>
      <c r="D78" s="1298">
        <v>7818298</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632135.08088844374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6607.4746365291803</v>
      </c>
      <c r="C90" s="326"/>
      <c r="D90" s="326"/>
      <c r="E90" s="326"/>
      <c r="F90" s="326"/>
    </row>
    <row r="91" spans="1:6">
      <c r="A91" s="1282" t="s">
        <v>67</v>
      </c>
      <c r="B91" s="1283">
        <v>1241.8504364370197</v>
      </c>
      <c r="C91" s="326"/>
      <c r="D91" s="326"/>
      <c r="E91" s="326"/>
      <c r="F91" s="326"/>
    </row>
    <row r="92" spans="1:6">
      <c r="A92" s="1277" t="s">
        <v>68</v>
      </c>
      <c r="B92" s="1278">
        <v>7220.9982136382687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6495</v>
      </c>
      <c r="C97" s="326"/>
      <c r="D97" s="326"/>
      <c r="E97" s="326"/>
      <c r="F97" s="326"/>
    </row>
    <row r="98" spans="1:6">
      <c r="A98" s="1282" t="s">
        <v>71</v>
      </c>
      <c r="B98" s="1283">
        <v>10</v>
      </c>
      <c r="C98" s="326"/>
      <c r="D98" s="326"/>
      <c r="E98" s="326"/>
      <c r="F98" s="326"/>
    </row>
    <row r="99" spans="1:6">
      <c r="A99" s="1282" t="s">
        <v>72</v>
      </c>
      <c r="B99" s="1283">
        <v>27</v>
      </c>
      <c r="C99" s="326"/>
      <c r="D99" s="326"/>
      <c r="E99" s="326"/>
      <c r="F99" s="326"/>
    </row>
    <row r="100" spans="1:6">
      <c r="A100" s="1282" t="s">
        <v>73</v>
      </c>
      <c r="B100" s="1283">
        <v>410</v>
      </c>
      <c r="C100" s="326"/>
      <c r="D100" s="326"/>
      <c r="E100" s="326"/>
      <c r="F100" s="326"/>
    </row>
    <row r="101" spans="1:6">
      <c r="A101" s="1282" t="s">
        <v>74</v>
      </c>
      <c r="B101" s="1283">
        <v>70</v>
      </c>
      <c r="C101" s="326"/>
      <c r="D101" s="326"/>
      <c r="E101" s="326"/>
      <c r="F101" s="326"/>
    </row>
    <row r="102" spans="1:6">
      <c r="A102" s="1282" t="s">
        <v>75</v>
      </c>
      <c r="B102" s="1283">
        <v>123</v>
      </c>
      <c r="C102" s="326"/>
      <c r="D102" s="326"/>
      <c r="E102" s="326"/>
      <c r="F102" s="326"/>
    </row>
    <row r="103" spans="1:6">
      <c r="A103" s="1282" t="s">
        <v>76</v>
      </c>
      <c r="B103" s="1283">
        <v>180</v>
      </c>
      <c r="C103" s="326"/>
      <c r="D103" s="326"/>
      <c r="E103" s="326"/>
      <c r="F103" s="326"/>
    </row>
    <row r="104" spans="1:6">
      <c r="A104" s="1282" t="s">
        <v>77</v>
      </c>
      <c r="B104" s="1283">
        <v>1800</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28</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162364.98036918719</v>
      </c>
      <c r="C3" s="43" t="s">
        <v>169</v>
      </c>
      <c r="D3" s="43"/>
      <c r="E3" s="156"/>
      <c r="F3" s="43"/>
      <c r="G3" s="43"/>
      <c r="H3" s="43"/>
      <c r="I3" s="43"/>
      <c r="J3" s="43"/>
      <c r="K3" s="96"/>
    </row>
    <row r="4" spans="1:11">
      <c r="A4" s="354" t="s">
        <v>170</v>
      </c>
      <c r="B4" s="49">
        <f>IF(ISERROR('SEAP template'!B78+'SEAP template'!C78),0,'SEAP template'!B78+'SEAP template'!C78)</f>
        <v>15070.323286604467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0.20048731654592902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1832.319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1832.319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0.20048731654592902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367.3567193661201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36166.258116186204</v>
      </c>
      <c r="C5" s="17">
        <f>IF(ISERROR('Eigen informatie GS &amp; warmtenet'!B57),0,'Eigen informatie GS &amp; warmtenet'!B57)</f>
        <v>0</v>
      </c>
      <c r="D5" s="30">
        <f>(SUM(HH_hh_gas_kWh,HH_rest_gas_kWh)/1000)*0.902</f>
        <v>117691.29207078877</v>
      </c>
      <c r="E5" s="17">
        <f>B32*B41</f>
        <v>1015.6861535484264</v>
      </c>
      <c r="F5" s="17">
        <f>B36*B45</f>
        <v>34669.833012798183</v>
      </c>
      <c r="G5" s="18"/>
      <c r="H5" s="17"/>
      <c r="I5" s="17"/>
      <c r="J5" s="17">
        <f>B35*B44+C35*C44</f>
        <v>780.67674146494164</v>
      </c>
      <c r="K5" s="17"/>
      <c r="L5" s="17"/>
      <c r="M5" s="17"/>
      <c r="N5" s="17">
        <f>B34*B43+C34*C43</f>
        <v>11415.923933024547</v>
      </c>
      <c r="O5" s="17">
        <f>B52*B53*B54</f>
        <v>48.463333333333338</v>
      </c>
      <c r="P5" s="17">
        <f>B60*B61*B62/1000-B60*B61*B62/1000/B63</f>
        <v>95.333333333333343</v>
      </c>
    </row>
    <row r="6" spans="1:16">
      <c r="A6" s="16" t="s">
        <v>621</v>
      </c>
      <c r="B6" s="768">
        <f>kWh_PV_kleiner_dan_10kW</f>
        <v>1241.8504364370197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37408.10855262322</v>
      </c>
      <c r="C8" s="21">
        <f>C5</f>
        <v>0</v>
      </c>
      <c r="D8" s="21">
        <f>D5</f>
        <v>117691.29207078877</v>
      </c>
      <c r="E8" s="21">
        <f>E5</f>
        <v>1015.6861535484264</v>
      </c>
      <c r="F8" s="21">
        <f>F5</f>
        <v>34669.833012798183</v>
      </c>
      <c r="G8" s="21"/>
      <c r="H8" s="21"/>
      <c r="I8" s="21"/>
      <c r="J8" s="21">
        <f>J5</f>
        <v>780.67674146494164</v>
      </c>
      <c r="K8" s="21"/>
      <c r="L8" s="21">
        <f>L5</f>
        <v>0</v>
      </c>
      <c r="M8" s="21">
        <f>M5</f>
        <v>0</v>
      </c>
      <c r="N8" s="21">
        <f>N5</f>
        <v>11415.923933024547</v>
      </c>
      <c r="O8" s="21">
        <f>O5</f>
        <v>48.463333333333338</v>
      </c>
      <c r="P8" s="21">
        <f>P5</f>
        <v>95.333333333333343</v>
      </c>
    </row>
    <row r="9" spans="1:16">
      <c r="B9" s="19"/>
      <c r="C9" s="19"/>
      <c r="D9" s="256"/>
      <c r="E9" s="19"/>
      <c r="F9" s="19"/>
      <c r="G9" s="19"/>
      <c r="H9" s="19"/>
      <c r="I9" s="19"/>
      <c r="J9" s="19"/>
      <c r="K9" s="19"/>
      <c r="L9" s="19"/>
      <c r="M9" s="19"/>
      <c r="N9" s="19"/>
      <c r="O9" s="19"/>
      <c r="P9" s="19"/>
    </row>
    <row r="10" spans="1:16">
      <c r="A10" s="24" t="s">
        <v>213</v>
      </c>
      <c r="B10" s="25">
        <f ca="1">'EF ele_warmte'!B12</f>
        <v>0.20048731654592902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7499.8513007742467</v>
      </c>
      <c r="C12" s="23">
        <f ca="1">C10*C8</f>
        <v>0</v>
      </c>
      <c r="D12" s="23">
        <f>D8*D10</f>
        <v>23773.640998299332</v>
      </c>
      <c r="E12" s="23">
        <f>E10*E8</f>
        <v>230.5607568554928</v>
      </c>
      <c r="F12" s="23">
        <f>F10*F8</f>
        <v>9256.8454144171155</v>
      </c>
      <c r="G12" s="23"/>
      <c r="H12" s="23"/>
      <c r="I12" s="23"/>
      <c r="J12" s="23">
        <f>J10*J8</f>
        <v>276.35956647858933</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10075</v>
      </c>
      <c r="C26" s="36"/>
      <c r="D26" s="226"/>
    </row>
    <row r="27" spans="1:5" s="15" customFormat="1">
      <c r="A27" s="228" t="s">
        <v>701</v>
      </c>
      <c r="B27" s="37">
        <f>SUM(HH_hh_gas_aantal,HH_rest_gas_aantal)</f>
        <v>8385</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7965.75</v>
      </c>
      <c r="C31" s="34" t="s">
        <v>110</v>
      </c>
      <c r="D31" s="172"/>
    </row>
    <row r="32" spans="1:5">
      <c r="A32" s="169" t="s">
        <v>72</v>
      </c>
      <c r="B32" s="33">
        <f>IF((B21*($B$26-($B$27-0.05*$B$27)-$B$60))&lt;0,0,B21*($B$26-($B$27-0.05*$B$27)-$B$60))</f>
        <v>14.918224834535616</v>
      </c>
      <c r="C32" s="34" t="s">
        <v>110</v>
      </c>
      <c r="D32" s="172"/>
    </row>
    <row r="33" spans="1:6">
      <c r="A33" s="169" t="s">
        <v>73</v>
      </c>
      <c r="B33" s="33">
        <f>IF((B22*($B$26-($B$27-0.05*$B$27)-$B$60))&lt;0,0,B22*($B$26-($B$27-0.05*$B$27)-$B$60))</f>
        <v>427.55429406733714</v>
      </c>
      <c r="C33" s="34" t="s">
        <v>110</v>
      </c>
      <c r="D33" s="172"/>
    </row>
    <row r="34" spans="1:6">
      <c r="A34" s="169" t="s">
        <v>74</v>
      </c>
      <c r="B34" s="33">
        <f>IF((B24*($B$26-($B$27-0.05*$B$27)-$B$60))&lt;0,0,B24*($B$26-($B$27-0.05*$B$27)-$B$60))</f>
        <v>85.258844767241044</v>
      </c>
      <c r="C34" s="33">
        <f>B26*C24</f>
        <v>2060.1119684047421</v>
      </c>
      <c r="D34" s="231"/>
    </row>
    <row r="35" spans="1:6">
      <c r="A35" s="169" t="s">
        <v>76</v>
      </c>
      <c r="B35" s="33">
        <f>IF((B19*($B$26-($B$27-0.05*$B$27)-$B$60))&lt;0,0,B19*($B$26-($B$27-0.05*$B$27)-$B$60))</f>
        <v>44.39947867421315</v>
      </c>
      <c r="C35" s="33">
        <f>B35/2</f>
        <v>22.199739337106575</v>
      </c>
      <c r="D35" s="231"/>
    </row>
    <row r="36" spans="1:6">
      <c r="A36" s="169" t="s">
        <v>77</v>
      </c>
      <c r="B36" s="33">
        <f>IF((B18*($B$26-($B$27-0.05*$B$27)-$B$60))&lt;0,0,B18*($B$26-($B$27-0.05*$B$27)-$B$60))</f>
        <v>1532.119157656673</v>
      </c>
      <c r="C36" s="34" t="s">
        <v>110</v>
      </c>
      <c r="D36" s="172"/>
    </row>
    <row r="37" spans="1:6">
      <c r="A37" s="169" t="s">
        <v>78</v>
      </c>
      <c r="B37" s="33">
        <f>B60</f>
        <v>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46950.358613365439</v>
      </c>
      <c r="C5" s="17">
        <f>IF(ISERROR('Eigen informatie GS &amp; warmtenet'!B58),0,'Eigen informatie GS &amp; warmtenet'!B58)</f>
        <v>0</v>
      </c>
      <c r="D5" s="30">
        <f>SUM(D6:D12)</f>
        <v>41769.410825482315</v>
      </c>
      <c r="E5" s="17">
        <f>SUM(E6:E12)</f>
        <v>1053.0150099770622</v>
      </c>
      <c r="F5" s="17">
        <f>SUM(F6:F12)</f>
        <v>8215.0701968670255</v>
      </c>
      <c r="G5" s="18"/>
      <c r="H5" s="17"/>
      <c r="I5" s="17"/>
      <c r="J5" s="17">
        <f>SUM(J6:J12)</f>
        <v>0</v>
      </c>
      <c r="K5" s="17"/>
      <c r="L5" s="17"/>
      <c r="M5" s="17"/>
      <c r="N5" s="17">
        <f>SUM(N6:N12)</f>
        <v>1237.2898508792148</v>
      </c>
      <c r="O5" s="17">
        <f>B38*B39*B40</f>
        <v>1.5633333333333335</v>
      </c>
      <c r="P5" s="17">
        <f>B46*B47*B48/1000-B46*B47*B48/1000/B49</f>
        <v>19.066666666666666</v>
      </c>
      <c r="R5" s="32"/>
    </row>
    <row r="6" spans="1:18">
      <c r="A6" s="32" t="s">
        <v>53</v>
      </c>
      <c r="B6" s="37">
        <f>B26</f>
        <v>21472.0685790514</v>
      </c>
      <c r="C6" s="33"/>
      <c r="D6" s="37">
        <f>IF(ISERROR(TER_kantoor_gas_kWh/1000),0,TER_kantoor_gas_kWh/1000)*0.902</f>
        <v>16413.519087814631</v>
      </c>
      <c r="E6" s="33">
        <f>$C$26*'E Balans VL '!I12/100/3.6*1000000</f>
        <v>751.60686594432343</v>
      </c>
      <c r="F6" s="33">
        <f>$C$26*('E Balans VL '!L12+'E Balans VL '!N12)/100/3.6*1000000</f>
        <v>3255.6265973791901</v>
      </c>
      <c r="G6" s="34"/>
      <c r="H6" s="33"/>
      <c r="I6" s="33"/>
      <c r="J6" s="33">
        <f>$C$26*('E Balans VL '!D12+'E Balans VL '!E12)/100/3.6*1000000</f>
        <v>0</v>
      </c>
      <c r="K6" s="33"/>
      <c r="L6" s="33"/>
      <c r="M6" s="33"/>
      <c r="N6" s="33">
        <f>$C$26*'E Balans VL '!Y12/100/3.6*1000000</f>
        <v>165.97236954356052</v>
      </c>
      <c r="O6" s="33"/>
      <c r="P6" s="33"/>
      <c r="R6" s="32"/>
    </row>
    <row r="7" spans="1:18">
      <c r="A7" s="32" t="s">
        <v>52</v>
      </c>
      <c r="B7" s="37">
        <f t="shared" ref="B7:B12" si="0">B27</f>
        <v>2252.4742490715798</v>
      </c>
      <c r="C7" s="33"/>
      <c r="D7" s="37">
        <f>IF(ISERROR(TER_horeca_gas_kWh/1000),0,TER_horeca_gas_kWh/1000)*0.902</f>
        <v>1739.0920317943417</v>
      </c>
      <c r="E7" s="33">
        <f>$C$27*'E Balans VL '!I9/100/3.6*1000000</f>
        <v>127.06949826093951</v>
      </c>
      <c r="F7" s="33">
        <f>$C$27*('E Balans VL '!L9+'E Balans VL '!N9)/100/3.6*1000000</f>
        <v>392.3934795408112</v>
      </c>
      <c r="G7" s="34"/>
      <c r="H7" s="33"/>
      <c r="I7" s="33"/>
      <c r="J7" s="33">
        <f>$C$27*('E Balans VL '!D9+'E Balans VL '!E9)/100/3.6*1000000</f>
        <v>0</v>
      </c>
      <c r="K7" s="33"/>
      <c r="L7" s="33"/>
      <c r="M7" s="33"/>
      <c r="N7" s="33">
        <f>$C$27*'E Balans VL '!Y9/100/3.6*1000000</f>
        <v>0</v>
      </c>
      <c r="O7" s="33"/>
      <c r="P7" s="33"/>
      <c r="R7" s="32"/>
    </row>
    <row r="8" spans="1:18">
      <c r="A8" s="6" t="s">
        <v>51</v>
      </c>
      <c r="B8" s="37">
        <f t="shared" si="0"/>
        <v>13706.239177843199</v>
      </c>
      <c r="C8" s="33"/>
      <c r="D8" s="37">
        <f>IF(ISERROR(TER_handel_gas_kWh/1000),0,TER_handel_gas_kWh/1000)*0.902</f>
        <v>8348.0367295396827</v>
      </c>
      <c r="E8" s="33">
        <f>$C$28*'E Balans VL '!I13/100/3.6*1000000</f>
        <v>70.366439405342945</v>
      </c>
      <c r="F8" s="33">
        <f>$C$28*('E Balans VL '!L13+'E Balans VL '!N13)/100/3.6*1000000</f>
        <v>2113.2902980876356</v>
      </c>
      <c r="G8" s="34"/>
      <c r="H8" s="33"/>
      <c r="I8" s="33"/>
      <c r="J8" s="33">
        <f>$C$28*('E Balans VL '!D13+'E Balans VL '!E13)/100/3.6*1000000</f>
        <v>0</v>
      </c>
      <c r="K8" s="33"/>
      <c r="L8" s="33"/>
      <c r="M8" s="33"/>
      <c r="N8" s="33">
        <f>$C$28*'E Balans VL '!Y13/100/3.6*1000000</f>
        <v>6.410575370646602</v>
      </c>
      <c r="O8" s="33"/>
      <c r="P8" s="33"/>
      <c r="R8" s="32"/>
    </row>
    <row r="9" spans="1:18">
      <c r="A9" s="32" t="s">
        <v>50</v>
      </c>
      <c r="B9" s="37">
        <f t="shared" si="0"/>
        <v>1326.3423592527099</v>
      </c>
      <c r="C9" s="33"/>
      <c r="D9" s="37">
        <f>IF(ISERROR(TER_gezond_gas_kWh/1000),0,TER_gezond_gas_kWh/1000)*0.902</f>
        <v>2334.0176976426997</v>
      </c>
      <c r="E9" s="33">
        <f>$C$29*'E Balans VL '!I10/100/3.6*1000000</f>
        <v>0.54975946203850345</v>
      </c>
      <c r="F9" s="33">
        <f>$C$29*('E Balans VL '!L10+'E Balans VL '!N10)/100/3.6*1000000</f>
        <v>326.65910079707982</v>
      </c>
      <c r="G9" s="34"/>
      <c r="H9" s="33"/>
      <c r="I9" s="33"/>
      <c r="J9" s="33">
        <f>$C$29*('E Balans VL '!D10+'E Balans VL '!E10)/100/3.6*1000000</f>
        <v>0</v>
      </c>
      <c r="K9" s="33"/>
      <c r="L9" s="33"/>
      <c r="M9" s="33"/>
      <c r="N9" s="33">
        <f>$C$29*'E Balans VL '!Y10/100/3.6*1000000</f>
        <v>11.462880847231661</v>
      </c>
      <c r="O9" s="33"/>
      <c r="P9" s="33"/>
      <c r="R9" s="32"/>
    </row>
    <row r="10" spans="1:18">
      <c r="A10" s="32" t="s">
        <v>49</v>
      </c>
      <c r="B10" s="37">
        <f t="shared" si="0"/>
        <v>4117.5889187622597</v>
      </c>
      <c r="C10" s="33"/>
      <c r="D10" s="37">
        <f>IF(ISERROR(TER_ander_gas_kWh/1000),0,TER_ander_gas_kWh/1000)*0.902</f>
        <v>1362.6177070701274</v>
      </c>
      <c r="E10" s="33">
        <f>$C$30*'E Balans VL '!I14/100/3.6*1000000</f>
        <v>25.100923640800364</v>
      </c>
      <c r="F10" s="33">
        <f>$C$30*('E Balans VL '!L14+'E Balans VL '!N14)/100/3.6*1000000</f>
        <v>1091.6292269338139</v>
      </c>
      <c r="G10" s="34"/>
      <c r="H10" s="33"/>
      <c r="I10" s="33"/>
      <c r="J10" s="33">
        <f>$C$30*('E Balans VL '!D14+'E Balans VL '!E14)/100/3.6*1000000</f>
        <v>0</v>
      </c>
      <c r="K10" s="33"/>
      <c r="L10" s="33"/>
      <c r="M10" s="33"/>
      <c r="N10" s="33">
        <f>$C$30*'E Balans VL '!Y14/100/3.6*1000000</f>
        <v>949.01527122706841</v>
      </c>
      <c r="O10" s="33"/>
      <c r="P10" s="33"/>
      <c r="R10" s="32"/>
    </row>
    <row r="11" spans="1:18">
      <c r="A11" s="32" t="s">
        <v>54</v>
      </c>
      <c r="B11" s="37">
        <f t="shared" si="0"/>
        <v>439.40344154243002</v>
      </c>
      <c r="C11" s="33"/>
      <c r="D11" s="37">
        <f>IF(ISERROR(TER_onderwijs_gas_kWh/1000),0,TER_onderwijs_gas_kWh/1000)*0.902</f>
        <v>2975.0511077208917</v>
      </c>
      <c r="E11" s="33">
        <f>$C$31*'E Balans VL '!I11/100/3.6*1000000</f>
        <v>0.33484830243424457</v>
      </c>
      <c r="F11" s="33">
        <f>$C$31*('E Balans VL '!L11+'E Balans VL '!N11)/100/3.6*1000000</f>
        <v>317.97641061062825</v>
      </c>
      <c r="G11" s="34"/>
      <c r="H11" s="33"/>
      <c r="I11" s="33"/>
      <c r="J11" s="33">
        <f>$C$31*('E Balans VL '!D11+'E Balans VL '!E11)/100/3.6*1000000</f>
        <v>0</v>
      </c>
      <c r="K11" s="33"/>
      <c r="L11" s="33"/>
      <c r="M11" s="33"/>
      <c r="N11" s="33">
        <f>$C$31*'E Balans VL '!Y11/100/3.6*1000000</f>
        <v>1.2950269577344808</v>
      </c>
      <c r="O11" s="33"/>
      <c r="P11" s="33"/>
      <c r="R11" s="32"/>
    </row>
    <row r="12" spans="1:18">
      <c r="A12" s="32" t="s">
        <v>255</v>
      </c>
      <c r="B12" s="37">
        <f t="shared" si="0"/>
        <v>3636.2418878418598</v>
      </c>
      <c r="C12" s="33"/>
      <c r="D12" s="37">
        <f>IF(ISERROR(TER_rest_gas_kWh/1000),0,TER_rest_gas_kWh/1000)*0.902</f>
        <v>8597.0764638999408</v>
      </c>
      <c r="E12" s="33">
        <f>$C$32*'E Balans VL '!I8/100/3.6*1000000</f>
        <v>77.986674961183041</v>
      </c>
      <c r="F12" s="33">
        <f>$C$32*('E Balans VL '!L8+'E Balans VL '!N8)/100/3.6*1000000</f>
        <v>717.4950835178654</v>
      </c>
      <c r="G12" s="34"/>
      <c r="H12" s="33"/>
      <c r="I12" s="33"/>
      <c r="J12" s="33">
        <f>$C$32*('E Balans VL '!D8+'E Balans VL '!E8)/100/3.6*1000000</f>
        <v>0</v>
      </c>
      <c r="K12" s="33"/>
      <c r="L12" s="33"/>
      <c r="M12" s="33"/>
      <c r="N12" s="33">
        <f>$C$32*'E Balans VL '!Y8/100/3.6*1000000</f>
        <v>103.13372693297305</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46950.358613365439</v>
      </c>
      <c r="C16" s="21">
        <f ca="1">C5+C13+C14</f>
        <v>0</v>
      </c>
      <c r="D16" s="21">
        <f t="shared" ref="D16:N16" ca="1" si="1">MAX((D5+D13+D14),0)</f>
        <v>41769.410825482315</v>
      </c>
      <c r="E16" s="21">
        <f t="shared" si="1"/>
        <v>1053.0150099770622</v>
      </c>
      <c r="F16" s="21">
        <f t="shared" ca="1" si="1"/>
        <v>8215.0701968670255</v>
      </c>
      <c r="G16" s="21">
        <f t="shared" si="1"/>
        <v>0</v>
      </c>
      <c r="H16" s="21">
        <f t="shared" si="1"/>
        <v>0</v>
      </c>
      <c r="I16" s="21">
        <f t="shared" si="1"/>
        <v>0</v>
      </c>
      <c r="J16" s="21">
        <f t="shared" si="1"/>
        <v>0</v>
      </c>
      <c r="K16" s="21">
        <f t="shared" si="1"/>
        <v>0</v>
      </c>
      <c r="L16" s="21">
        <f t="shared" ca="1" si="1"/>
        <v>0</v>
      </c>
      <c r="M16" s="21">
        <f t="shared" si="1"/>
        <v>0</v>
      </c>
      <c r="N16" s="21">
        <f t="shared" ca="1" si="1"/>
        <v>1237.2898508792148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0.20048731654592902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9412.9514092626814</v>
      </c>
      <c r="C20" s="23">
        <f t="shared" ref="C20:P20" ca="1" si="2">C16*C18</f>
        <v>0</v>
      </c>
      <c r="D20" s="23">
        <f t="shared" ca="1" si="2"/>
        <v>8437.4209867474274</v>
      </c>
      <c r="E20" s="23">
        <f t="shared" si="2"/>
        <v>239.03440726479312</v>
      </c>
      <c r="F20" s="23">
        <f t="shared" ca="1" si="2"/>
        <v>2193.423742563496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21472.0685790514</v>
      </c>
      <c r="C26" s="39">
        <f>IF(ISERROR(B26*3.6/1000000/'E Balans VL '!Z12*100),0,B26*3.6/1000000/'E Balans VL '!Z12*100)</f>
        <v>0.45184407450075453</v>
      </c>
      <c r="D26" s="234" t="s">
        <v>706</v>
      </c>
      <c r="F26" s="6"/>
    </row>
    <row r="27" spans="1:18">
      <c r="A27" s="229" t="s">
        <v>52</v>
      </c>
      <c r="B27" s="33">
        <f>IF(ISERROR(TER_horeca_ele_kWh/1000),0,TER_horeca_ele_kWh/1000)</f>
        <v>2252.4742490715798</v>
      </c>
      <c r="C27" s="39">
        <f>IF(ISERROR(B27*3.6/1000000/'E Balans VL '!Z9*100),0,B27*3.6/1000000/'E Balans VL '!Z9*100)</f>
        <v>0.19071066527486497</v>
      </c>
      <c r="D27" s="234" t="s">
        <v>706</v>
      </c>
      <c r="F27" s="6"/>
    </row>
    <row r="28" spans="1:18">
      <c r="A28" s="169" t="s">
        <v>51</v>
      </c>
      <c r="B28" s="33">
        <f>IF(ISERROR(TER_handel_ele_kWh/1000),0,TER_handel_ele_kWh/1000)</f>
        <v>13706.239177843199</v>
      </c>
      <c r="C28" s="39">
        <f>IF(ISERROR(B28*3.6/1000000/'E Balans VL '!Z13*100),0,B28*3.6/1000000/'E Balans VL '!Z13*100)</f>
        <v>0.37945533635291523</v>
      </c>
      <c r="D28" s="234" t="s">
        <v>706</v>
      </c>
      <c r="F28" s="6"/>
    </row>
    <row r="29" spans="1:18">
      <c r="A29" s="229" t="s">
        <v>50</v>
      </c>
      <c r="B29" s="33">
        <f>IF(ISERROR(TER_gezond_ele_kWh/1000),0,TER_gezond_ele_kWh/1000)</f>
        <v>1326.3423592527099</v>
      </c>
      <c r="C29" s="39">
        <f>IF(ISERROR(B29*3.6/1000000/'E Balans VL '!Z10*100),0,B29*3.6/1000000/'E Balans VL '!Z10*100)</f>
        <v>0.17240980248343912</v>
      </c>
      <c r="D29" s="234" t="s">
        <v>706</v>
      </c>
      <c r="F29" s="6"/>
    </row>
    <row r="30" spans="1:18">
      <c r="A30" s="229" t="s">
        <v>49</v>
      </c>
      <c r="B30" s="33">
        <f>IF(ISERROR(TER_ander_ele_kWh/1000),0,TER_ander_ele_kWh/1000)</f>
        <v>4117.5889187622597</v>
      </c>
      <c r="C30" s="39">
        <f>IF(ISERROR(B30*3.6/1000000/'E Balans VL '!Z14*100),0,B30*3.6/1000000/'E Balans VL '!Z14*100)</f>
        <v>0.31915090237907484</v>
      </c>
      <c r="D30" s="234" t="s">
        <v>706</v>
      </c>
      <c r="F30" s="6"/>
    </row>
    <row r="31" spans="1:18">
      <c r="A31" s="229" t="s">
        <v>54</v>
      </c>
      <c r="B31" s="33">
        <f>IF(ISERROR(TER_onderwijs_ele_kWh/1000),0,TER_onderwijs_ele_kWh/1000)</f>
        <v>439.40344154243002</v>
      </c>
      <c r="C31" s="39">
        <f>IF(ISERROR(B31*3.6/1000000/'E Balans VL '!Z11*100),0,B31*3.6/1000000/'E Balans VL '!Z11*100)</f>
        <v>8.4065365643263931E-2</v>
      </c>
      <c r="D31" s="234" t="s">
        <v>706</v>
      </c>
    </row>
    <row r="32" spans="1:18">
      <c r="A32" s="229" t="s">
        <v>255</v>
      </c>
      <c r="B32" s="33">
        <f>IF(ISERROR(TER_rest_ele_kWh/1000),0,TER_rest_ele_kWh/1000)</f>
        <v>3636.2418878418598</v>
      </c>
      <c r="C32" s="39">
        <f>IF(ISERROR(B32*3.6/1000000/'E Balans VL '!Z8*100),0,B32*3.6/1000000/'E Balans VL '!Z8*100)</f>
        <v>2.9983606691993524E-2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73839.8738551735</v>
      </c>
      <c r="C5" s="17">
        <f>IF(ISERROR('Eigen informatie GS &amp; warmtenet'!B59),0,'Eigen informatie GS &amp; warmtenet'!B59)</f>
        <v>0</v>
      </c>
      <c r="D5" s="30">
        <f>SUM(D6:D15)</f>
        <v>191769.15202130991</v>
      </c>
      <c r="E5" s="17">
        <f>SUM(E6:E15)</f>
        <v>688.23960233107539</v>
      </c>
      <c r="F5" s="17">
        <f>SUM(F6:F15)</f>
        <v>16346.898341420963</v>
      </c>
      <c r="G5" s="18"/>
      <c r="H5" s="17"/>
      <c r="I5" s="17"/>
      <c r="J5" s="17">
        <f>SUM(J6:J15)</f>
        <v>478.34620205393105</v>
      </c>
      <c r="K5" s="17"/>
      <c r="L5" s="17"/>
      <c r="M5" s="17"/>
      <c r="N5" s="17">
        <f>SUM(N6:N15)</f>
        <v>1480.8087356159165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226.71390406664099</v>
      </c>
      <c r="C8" s="33"/>
      <c r="D8" s="37">
        <f>IF( ISERROR(IND_metaal_Gas_kWH/1000),0,IND_metaal_Gas_kWH/1000)*0.902</f>
        <v>6368.8668567211762</v>
      </c>
      <c r="E8" s="33">
        <f>C30*'E Balans VL '!I18/100/3.6*1000000</f>
        <v>1.5930685817223718</v>
      </c>
      <c r="F8" s="33">
        <f>C30*'E Balans VL '!L18/100/3.6*1000000+C30*'E Balans VL '!N18/100/3.6*1000000</f>
        <v>24.891860259622103</v>
      </c>
      <c r="G8" s="34"/>
      <c r="H8" s="33"/>
      <c r="I8" s="33"/>
      <c r="J8" s="40">
        <f>C30*'E Balans VL '!D18/100/3.6*1000000+C30*'E Balans VL '!E18/100/3.6*1000000</f>
        <v>4.6775964981783194</v>
      </c>
      <c r="K8" s="33"/>
      <c r="L8" s="33"/>
      <c r="M8" s="33"/>
      <c r="N8" s="33">
        <f>C30*'E Balans VL '!Y18/100/3.6*1000000</f>
        <v>0.84974004035962769</v>
      </c>
      <c r="O8" s="33"/>
      <c r="P8" s="33"/>
      <c r="R8" s="32"/>
    </row>
    <row r="9" spans="1:18">
      <c r="A9" s="6" t="s">
        <v>32</v>
      </c>
      <c r="B9" s="37">
        <f t="shared" si="0"/>
        <v>2838.8795235672501</v>
      </c>
      <c r="C9" s="33"/>
      <c r="D9" s="37">
        <f>IF( ISERROR(IND_andere_gas_kWh/1000),0,IND_andere_gas_kWh/1000)*0.902</f>
        <v>975.97930453713525</v>
      </c>
      <c r="E9" s="33">
        <f>C31*'E Balans VL '!I19/100/3.6*1000000</f>
        <v>47.682459336766343</v>
      </c>
      <c r="F9" s="33">
        <f>C31*'E Balans VL '!L19/100/3.6*1000000+C31*'E Balans VL '!N19/100/3.6*1000000</f>
        <v>2219.2743210202516</v>
      </c>
      <c r="G9" s="34"/>
      <c r="H9" s="33"/>
      <c r="I9" s="33"/>
      <c r="J9" s="40">
        <f>C31*'E Balans VL '!D19/100/3.6*1000000+C31*'E Balans VL '!E19/100/3.6*1000000</f>
        <v>0.25604187314348775</v>
      </c>
      <c r="K9" s="33"/>
      <c r="L9" s="33"/>
      <c r="M9" s="33"/>
      <c r="N9" s="33">
        <f>C31*'E Balans VL '!Y19/100/3.6*1000000</f>
        <v>210.40651850856003</v>
      </c>
      <c r="O9" s="33"/>
      <c r="P9" s="33"/>
      <c r="R9" s="32"/>
    </row>
    <row r="10" spans="1:18">
      <c r="A10" s="6" t="s">
        <v>40</v>
      </c>
      <c r="B10" s="37">
        <f t="shared" si="0"/>
        <v>1184.30811867442</v>
      </c>
      <c r="C10" s="33"/>
      <c r="D10" s="37">
        <f>IF( ISERROR(IND_voed_gas_kWh/1000),0,IND_voed_gas_kWh/1000)*0.902</f>
        <v>554.28262644985705</v>
      </c>
      <c r="E10" s="33">
        <f>C32*'E Balans VL '!I20/100/3.6*1000000</f>
        <v>10.805135135570355</v>
      </c>
      <c r="F10" s="33">
        <f>C32*'E Balans VL '!L20/100/3.6*1000000+C32*'E Balans VL '!N20/100/3.6*1000000</f>
        <v>191.06594253230489</v>
      </c>
      <c r="G10" s="34"/>
      <c r="H10" s="33"/>
      <c r="I10" s="33"/>
      <c r="J10" s="40">
        <f>C32*'E Balans VL '!D20/100/3.6*1000000+C32*'E Balans VL '!E20/100/3.6*1000000</f>
        <v>4.8777573026889574</v>
      </c>
      <c r="K10" s="33"/>
      <c r="L10" s="33"/>
      <c r="M10" s="33"/>
      <c r="N10" s="33">
        <f>C32*'E Balans VL '!Y20/100/3.6*1000000</f>
        <v>17.32549392304561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5.7903338444890995</v>
      </c>
      <c r="C13" s="33"/>
      <c r="D13" s="37">
        <f>IF( ISERROR(IND_papier_gas_kWh/1000),0,IND_papier_gas_kWh/1000)*0.902</f>
        <v>0</v>
      </c>
      <c r="E13" s="33">
        <f>C35*'E Balans VL '!I23/100/3.6*1000000</f>
        <v>0.17815346096945686</v>
      </c>
      <c r="F13" s="33">
        <f>C35*'E Balans VL '!L23/100/3.6*1000000+C35*'E Balans VL '!N23/100/3.6*1000000</f>
        <v>1.2294902353969759</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69584.181975020707</v>
      </c>
      <c r="C15" s="33"/>
      <c r="D15" s="37">
        <f>IF( ISERROR(IND_rest_gas_kWh/1000),0,IND_rest_gas_kWh/1000)*0.902</f>
        <v>183870.02323360174</v>
      </c>
      <c r="E15" s="33">
        <f>C37*'E Balans VL '!I15/100/3.6*1000000</f>
        <v>627.98078581604682</v>
      </c>
      <c r="F15" s="33">
        <f>C37*'E Balans VL '!L15/100/3.6*1000000+C37*'E Balans VL '!N15/100/3.6*1000000</f>
        <v>13910.436727373388</v>
      </c>
      <c r="G15" s="34"/>
      <c r="H15" s="33"/>
      <c r="I15" s="33"/>
      <c r="J15" s="40">
        <f>C37*'E Balans VL '!D15/100/3.6*1000000+C37*'E Balans VL '!E15/100/3.6*1000000</f>
        <v>468.53480637992027</v>
      </c>
      <c r="K15" s="33"/>
      <c r="L15" s="33"/>
      <c r="M15" s="33"/>
      <c r="N15" s="33">
        <f>C37*'E Balans VL '!Y15/100/3.6*1000000</f>
        <v>1252.2269831439512</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73839.8738551735</v>
      </c>
      <c r="C18" s="21">
        <f>C5+C16</f>
        <v>0</v>
      </c>
      <c r="D18" s="21">
        <f>MAX((D5+D16),0)</f>
        <v>191769.15202130991</v>
      </c>
      <c r="E18" s="21">
        <f>MAX((E5+E16),0)</f>
        <v>688.23960233107539</v>
      </c>
      <c r="F18" s="21">
        <f>MAX((F5+F16),0)</f>
        <v>16346.898341420963</v>
      </c>
      <c r="G18" s="21"/>
      <c r="H18" s="21"/>
      <c r="I18" s="21"/>
      <c r="J18" s="21">
        <f>MAX((J5+J16),0)</f>
        <v>478.34620205393105</v>
      </c>
      <c r="K18" s="21"/>
      <c r="L18" s="21">
        <f>MAX((L5+L16),0)</f>
        <v>0</v>
      </c>
      <c r="M18" s="21"/>
      <c r="N18" s="21">
        <f>MAX((N5+N16),0)</f>
        <v>1480.8087356159165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0.20048731654592902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14803.958163313639</v>
      </c>
      <c r="C22" s="23">
        <f ca="1">C18*C20</f>
        <v>0</v>
      </c>
      <c r="D22" s="23">
        <f>D18*D20</f>
        <v>38737.368708304602</v>
      </c>
      <c r="E22" s="23">
        <f>E18*E20</f>
        <v>156.23038972915413</v>
      </c>
      <c r="F22" s="23">
        <f>F18*F20</f>
        <v>4364.6218571593972</v>
      </c>
      <c r="G22" s="23"/>
      <c r="H22" s="23"/>
      <c r="I22" s="23"/>
      <c r="J22" s="23">
        <f>J18*J20</f>
        <v>169.3345555270916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226.71390406664099</v>
      </c>
      <c r="C30" s="39">
        <f>IF(ISERROR(B30*3.6/1000000/'E Balans VL '!Z18*100),0,B30*3.6/1000000/'E Balans VL '!Z18*100)</f>
        <v>1.5092483036827401E-2</v>
      </c>
      <c r="D30" s="234" t="s">
        <v>706</v>
      </c>
    </row>
    <row r="31" spans="1:18">
      <c r="A31" s="6" t="s">
        <v>32</v>
      </c>
      <c r="B31" s="37">
        <f>IF( ISERROR(IND_ander_ele_kWh/1000),0,IND_ander_ele_kWh/1000)</f>
        <v>2838.8795235672501</v>
      </c>
      <c r="C31" s="39">
        <f>IF(ISERROR(B31*3.6/1000000/'E Balans VL '!Z19*100),0,B31*3.6/1000000/'E Balans VL '!Z19*100)</f>
        <v>0.12583627895106567</v>
      </c>
      <c r="D31" s="234" t="s">
        <v>706</v>
      </c>
    </row>
    <row r="32" spans="1:18">
      <c r="A32" s="169" t="s">
        <v>40</v>
      </c>
      <c r="B32" s="37">
        <f>IF( ISERROR(IND_voed_ele_kWh/1000),0,IND_voed_ele_kWh/1000)</f>
        <v>1184.30811867442</v>
      </c>
      <c r="C32" s="39">
        <f>IF(ISERROR(B32*3.6/1000000/'E Balans VL '!Z20*100),0,B32*3.6/1000000/'E Balans VL '!Z20*100)</f>
        <v>3.9559288504016347E-2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5.7903338444890995</v>
      </c>
      <c r="C35" s="39">
        <f>IF(ISERROR(B35*3.6/1000000/'E Balans VL '!Z22*100),0,B35*3.6/1000000/'E Balans VL '!Z22*100)</f>
        <v>1.1261563295512727E-3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69584.181975020707</v>
      </c>
      <c r="C37" s="39">
        <f>IF(ISERROR(B37*3.6/1000000/'E Balans VL '!Z15*100),0,B37*3.6/1000000/'E Balans VL '!Z15*100)</f>
        <v>0.51759295156478868</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342.31743605669959</v>
      </c>
      <c r="C5" s="17">
        <f>'Eigen informatie GS &amp; warmtenet'!B60</f>
        <v>0</v>
      </c>
      <c r="D5" s="30">
        <f>IF(ISERROR(SUM(LB_lb_gas_kWh,LB_rest_gas_kWh)/1000),0,SUM(LB_lb_gas_kWh,LB_rest_gas_kWh)/1000)*0.902</f>
        <v>168.70781035814463</v>
      </c>
      <c r="E5" s="17">
        <f>B17*'E Balans VL '!I25/3.6*1000000/100</f>
        <v>3.5848222990885295</v>
      </c>
      <c r="F5" s="17">
        <f>B17*('E Balans VL '!L25/3.6*1000000+'E Balans VL '!N25/3.6*1000000)/100</f>
        <v>1465.3787323329441</v>
      </c>
      <c r="G5" s="18"/>
      <c r="H5" s="17"/>
      <c r="I5" s="17"/>
      <c r="J5" s="17">
        <f>('E Balans VL '!D25+'E Balans VL '!E25)/3.6*1000000*landbouw!B17/100</f>
        <v>30.572015283385845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342.31743605669959</v>
      </c>
      <c r="C8" s="21">
        <f>C5+C6</f>
        <v>0</v>
      </c>
      <c r="D8" s="21">
        <f>MAX((D5+D6),0)</f>
        <v>168.70781035814463</v>
      </c>
      <c r="E8" s="21">
        <f>MAX((E5+E6),0)</f>
        <v>3.5848222990885295</v>
      </c>
      <c r="F8" s="21">
        <f>MAX((F5+F6),0)</f>
        <v>1465.3787323329441</v>
      </c>
      <c r="G8" s="21"/>
      <c r="H8" s="21"/>
      <c r="I8" s="21"/>
      <c r="J8" s="21">
        <f>MAX((J5+J6),0)</f>
        <v>30.572015283385845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0.20048731654592902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68.630304161890351</v>
      </c>
      <c r="C12" s="23">
        <f ca="1">C8*C10</f>
        <v>0</v>
      </c>
      <c r="D12" s="23">
        <f>D8*D10</f>
        <v>34.078977692345219</v>
      </c>
      <c r="E12" s="23">
        <f>E8*E10</f>
        <v>0.8137546618930962</v>
      </c>
      <c r="F12" s="23">
        <f>F8*F10</f>
        <v>391.25612153289609</v>
      </c>
      <c r="G12" s="23"/>
      <c r="H12" s="23"/>
      <c r="I12" s="23"/>
      <c r="J12" s="23">
        <f>J8*J10</f>
        <v>10.822493410318588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5.268926135678037E-2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79.383972214502762</v>
      </c>
      <c r="C26" s="244">
        <f>B26*'GWP N2O_CH4'!B5</f>
        <v>1667.0634165045581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11.303969737676915</v>
      </c>
      <c r="C27" s="244">
        <f>B27*'GWP N2O_CH4'!B5</f>
        <v>237.38336449121522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1.1672957942623887</v>
      </c>
      <c r="C28" s="244">
        <f>B28*'GWP N2O_CH4'!B4</f>
        <v>361.86169622134048</v>
      </c>
      <c r="D28" s="50"/>
    </row>
    <row r="29" spans="1:4">
      <c r="A29" s="41" t="s">
        <v>272</v>
      </c>
      <c r="B29" s="244">
        <f>B34*'ha_N2O bodem landbouw'!B4</f>
        <v>6.2799495313345659</v>
      </c>
      <c r="C29" s="244">
        <f>B29*'GWP N2O_CH4'!B4</f>
        <v>1946.7843547137154</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1.0378441390056917E-3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1.0421730223665808E-5</v>
      </c>
      <c r="C5" s="435" t="s">
        <v>210</v>
      </c>
      <c r="D5" s="420">
        <f>SUM(D6:D11)</f>
        <v>3.4138675223924168E-5</v>
      </c>
      <c r="E5" s="420">
        <f>SUM(E6:E11)</f>
        <v>3.6631885639024746E-3</v>
      </c>
      <c r="F5" s="433" t="s">
        <v>210</v>
      </c>
      <c r="G5" s="420">
        <f>SUM(G6:G11)</f>
        <v>0.88018419659561098</v>
      </c>
      <c r="H5" s="420">
        <f>SUM(H6:H11)</f>
        <v>0.11339889220625106</v>
      </c>
      <c r="I5" s="435" t="s">
        <v>210</v>
      </c>
      <c r="J5" s="435" t="s">
        <v>210</v>
      </c>
      <c r="K5" s="435" t="s">
        <v>210</v>
      </c>
      <c r="L5" s="435" t="s">
        <v>210</v>
      </c>
      <c r="M5" s="420">
        <f>SUM(M6:M11)</f>
        <v>4.3136800255906868E-2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5.5898912377828345E-6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1.7698830876066427E-5</v>
      </c>
      <c r="E6" s="423">
        <f>vkm_GW_PW*SUMIFS(TableVerdeelsleutelVkm[LPG],TableVerdeelsleutelVkm[Voertuigtype],"Lichte voertuigen")*SUMIFS(TableECFTransport[EnergieConsumptieFactor (PJ per km)],TableECFTransport[Index],CONCATENATE($A6,"_LPG_LPG"))</f>
        <v>1.8443720797522794E-3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0.24567082081105751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5.8935899446023836E-2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1.3295825919110472E-2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5.7867016207423062E-7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0.2608512941153322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7.0625439156666021E-6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1.1237582222324167E-2</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1.7900536354064853E-6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9.63219367055914E-6</v>
      </c>
      <c r="E8" s="423">
        <f>vkm_NGW_PW*SUMIFS(TableVerdeelsleutelVkm[LPG],TableVerdeelsleutelVkm[Voertuigtype],"Lichte voertuigen")*SUMIFS(TableECFTransport[EnergieConsumptieFactor (PJ per km)],TableECFTransport[Index],CONCATENATE($A8,"_LPG_LPG"))</f>
        <v>9.4726491557505389E-4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0.11946519944179969</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3.0329123287399413E-2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6.5423626728755352E-3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1.192472921692167E-7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7.4457671154830304E-2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1.756689656347303E-6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3.2076555036396151E-3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2.1812819975051649E-6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6.8076506772986017E-6</v>
      </c>
      <c r="E10" s="423">
        <f>vkm_SW_PW*SUMIFS(TableVerdeelsleutelVkm[LPG],TableVerdeelsleutelVkm[Voertuigtype],"Lichte voertuigen")*SUMIFS(TableECFTransport[EnergieConsumptieFactor (PJ per km)],TableECFTransport[Index],CONCATENATE($A10,"_LPG_LPG"))</f>
        <v>8.7155156857514143E-4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0.10902046141807756</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2.4123007827096928E-2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5.8067749177500832E-3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1.6258589872787788E-7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7.0718749654513843E-2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2.0424121588538532E-6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3.0465990202069898E-3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2.8949250621293912</v>
      </c>
      <c r="C14" s="21"/>
      <c r="D14" s="21">
        <f t="shared" ref="D14:M14" si="0">((D5)*10^9/3600)+D12</f>
        <v>9.4829653399789358</v>
      </c>
      <c r="E14" s="21">
        <f t="shared" si="0"/>
        <v>1017.5523788617985</v>
      </c>
      <c r="F14" s="21"/>
      <c r="G14" s="21">
        <f t="shared" si="0"/>
        <v>244495.61016544749</v>
      </c>
      <c r="H14" s="21">
        <f t="shared" si="0"/>
        <v>31499.692279514184</v>
      </c>
      <c r="I14" s="21"/>
      <c r="J14" s="21"/>
      <c r="K14" s="21"/>
      <c r="L14" s="21"/>
      <c r="M14" s="21">
        <f t="shared" si="0"/>
        <v>11982.444515529685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0.20048731654592902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0.58039575730787851</v>
      </c>
      <c r="C18" s="23"/>
      <c r="D18" s="23">
        <f t="shared" ref="D18:M18" si="1">D14*D16</f>
        <v>1.9155589986757451</v>
      </c>
      <c r="E18" s="23">
        <f t="shared" si="1"/>
        <v>230.98439000162827</v>
      </c>
      <c r="F18" s="23"/>
      <c r="G18" s="23">
        <f t="shared" si="1"/>
        <v>65280.327914174486</v>
      </c>
      <c r="H18" s="23">
        <f t="shared" si="1"/>
        <v>7843.4233775990315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3.8246540419173976E-5</v>
      </c>
      <c r="C50" s="315">
        <f t="shared" ref="C50:P50" si="2">SUM(C51:C52)</f>
        <v>0</v>
      </c>
      <c r="D50" s="315">
        <f t="shared" si="2"/>
        <v>0</v>
      </c>
      <c r="E50" s="315">
        <f t="shared" si="2"/>
        <v>0</v>
      </c>
      <c r="F50" s="315">
        <f t="shared" si="2"/>
        <v>0</v>
      </c>
      <c r="G50" s="315">
        <f t="shared" si="2"/>
        <v>8.2972029540914465E-3</v>
      </c>
      <c r="H50" s="315">
        <f t="shared" si="2"/>
        <v>0</v>
      </c>
      <c r="I50" s="315">
        <f t="shared" si="2"/>
        <v>0</v>
      </c>
      <c r="J50" s="315">
        <f t="shared" si="2"/>
        <v>0</v>
      </c>
      <c r="K50" s="315">
        <f t="shared" si="2"/>
        <v>0</v>
      </c>
      <c r="L50" s="315">
        <f t="shared" si="2"/>
        <v>0</v>
      </c>
      <c r="M50" s="315">
        <f t="shared" si="2"/>
        <v>3.5525435887141544E-4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3.8246540419173976E-5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8.2972029540914465E-3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3.5525435887141544E-4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10.624039005326104</v>
      </c>
      <c r="C54" s="21">
        <f t="shared" ref="C54:P54" si="3">(C50)*10^9/3600</f>
        <v>0</v>
      </c>
      <c r="D54" s="21">
        <f t="shared" si="3"/>
        <v>0</v>
      </c>
      <c r="E54" s="21">
        <f t="shared" si="3"/>
        <v>0</v>
      </c>
      <c r="F54" s="21">
        <f t="shared" si="3"/>
        <v>0</v>
      </c>
      <c r="G54" s="21">
        <f t="shared" si="3"/>
        <v>2304.7785983587351</v>
      </c>
      <c r="H54" s="21">
        <f t="shared" si="3"/>
        <v>0</v>
      </c>
      <c r="I54" s="21">
        <f t="shared" si="3"/>
        <v>0</v>
      </c>
      <c r="J54" s="21">
        <f t="shared" si="3"/>
        <v>0</v>
      </c>
      <c r="K54" s="21">
        <f t="shared" si="3"/>
        <v>0</v>
      </c>
      <c r="L54" s="21">
        <f t="shared" si="3"/>
        <v>0</v>
      </c>
      <c r="M54" s="21">
        <f t="shared" si="3"/>
        <v>98.681766353170957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0.20048731654592902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2.1299850710571113</v>
      </c>
      <c r="C58" s="23">
        <f t="shared" ref="C58:P58" ca="1" si="4">C54*C56</f>
        <v>0</v>
      </c>
      <c r="D58" s="23">
        <f t="shared" si="4"/>
        <v>0</v>
      </c>
      <c r="E58" s="23">
        <f t="shared" si="4"/>
        <v>0</v>
      </c>
      <c r="F58" s="23">
        <f t="shared" si="4"/>
        <v>0</v>
      </c>
      <c r="G58" s="23">
        <f t="shared" si="4"/>
        <v>615.37588576178234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6607.4746365291803</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8462.8486500752879</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15070.323286604467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2021-06-29T16:52:44Z</dcterms:modified>
</cp:coreProperties>
</file>