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<sst xmlns="http://schemas.openxmlformats.org/spreadsheetml/2006/main" count="2581" uniqueCount="983">
  <si>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</si>
  <si>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</si>
  <si>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</si>
  <si>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</si>
  <si>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</si>
  <si>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</si>
  <si>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</si>
  <si>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</si>
  <si>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</si>
  <si>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</si>
  <si>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</si>
  <si>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</si>
  <si>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</si>
  <si>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</si>
  <si>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</si>
  <si>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</si>
  <si>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</si>
  <si>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</si>
  <si>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</si>
  <si>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</si>
  <si>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</si>
  <si>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</si>
  <si>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</si>
  <si>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</si>
  <si>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</si>
  <si>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</si>
  <si>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</si>
  <si>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</si>
  <si>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</si>
  <si>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</si>
  <si>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</si>
  <si>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</si>
  <si>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</si>
  <si>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</si>
  <si>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</si>
  <si>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</si>
  <si>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</si>
  <si>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</si>
  <si>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</si>
  <si>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</si>
  <si>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</si>
  <si>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</si>
  <si>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</si>
  <si>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</si>
  <si>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</si>
  <si>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</si>
  <si>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</si>
  <si>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</si>
  <si>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</si>
  <si>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</si>
  <si>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</si>
  <si>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</si>
  <si>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</si>
  <si>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</si>
  <si>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</si>
  <si>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</si>
  <si>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</si>
  <si>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</si>
  <si>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</si>
  <si>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</si>
  <si>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</si>
  <si>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</si>
  <si>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</si>
  <si>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</si>
  <si>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</si>
  <si>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</si>
  <si>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</si>
  <si>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</si>
  <si>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</si>
  <si>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</si>
  <si>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</si>
  <si>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</si>
  <si>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</si>
  <si>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</si>
  <si>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</si>
  <si>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</si>
  <si>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</si>
  <si>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</si>
  <si>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</si>
  <si>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</si>
  <si>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</si>
  <si>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</si>
  <si>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</si>
  <si>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</si>
  <si>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</si>
  <si>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</si>
  <si>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</si>
  <si>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</si>
  <si>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</si>
  <si>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</si>
  <si>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</si>
  <si>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</si>
  <si>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</si>
  <si>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</si>
  <si>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</si>
  <si>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</si>
  <si>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</si>
  <si>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</si>
  <si>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</si>
  <si>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</si>
  <si>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</si>
  <si>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</si>
  <si>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</si>
  <si>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</si>
  <si>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</si>
  <si>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</si>
  <si>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</si>
  <si>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</si>
  <si>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</si>
  <si>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</si>
  <si>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</si>
  <si>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</si>
  <si>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</si>
  <si>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</si>
  <si>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</si>
  <si>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</si>
  <si>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</si>
  <si>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</si>
  <si>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</si>
  <si>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</si>
  <si>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</si>
  <si>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</si>
  <si>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</si>
  <si>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</si>
  <si>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</si>
  <si>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</si>
  <si>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</si>
  <si>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</si>
  <si>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</si>
  <si>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</si>
  <si>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</si>
  <si>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</si>
  <si>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</si>
  <si>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</si>
  <si>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</si>
  <si>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</si>
  <si>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</si>
  <si>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</si>
  <si>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</si>
  <si>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</si>
  <si>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</si>
  <si>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</si>
  <si>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</si>
  <si>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</si>
  <si>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</si>
  <si>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</si>
  <si>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</si>
  <si>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</si>
  <si>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</si>
  <si>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</si>
  <si>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</si>
  <si>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</si>
  <si>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</si>
  <si>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</si>
  <si>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</si>
  <si>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</si>
  <si>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</si>
  <si>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</si>
  <si>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</si>
  <si>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</si>
  <si>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</si>
  <si>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</si>
  <si>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</si>
  <si>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</si>
  <si>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</si>
  <si>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</si>
  <si>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</si>
  <si>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</si>
  <si>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</si>
  <si>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</si>
  <si>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</si>
  <si>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</si>
  <si>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</si>
  <si>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</si>
  <si>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</si>
  <si>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</si>
  <si>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</si>
  <si>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</si>
  <si>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</si>
  <si>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</si>
  <si>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</si>
  <si>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</si>
  <si>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</si>
  <si>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</si>
  <si>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</si>
  <si>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</si>
  <si>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</si>
  <si>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</si>
  <si>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</si>
  <si>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</si>
  <si>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</si>
  <si>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</si>
  <si>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</si>
  <si>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</si>
  <si>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</si>
  <si>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</si>
  <si>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</si>
  <si>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</si>
  <si>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</si>
  <si>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</si>
  <si>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</si>
  <si>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</si>
  <si>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</si>
  <si>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</si>
  <si>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</si>
  <si>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</si>
  <si>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</si>
  <si>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</si>
  <si>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</si>
  <si>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</si>
  <si>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</si>
  <si>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</si>
  <si>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</si>
  <si>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</si>
  <si>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</si>
  <si>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</si>
  <si>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</si>
  <si>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</si>
  <si>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</si>
  <si>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</si>
  <si>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</si>
  <si>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</si>
  <si>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</si>
  <si>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</si>
  <si>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</si>
  <si>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</si>
  <si>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</si>
  <si>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</si>
  <si>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</si>
  <si>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</si>
  <si>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</si>
  <si>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</si>
  <si>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</si>
  <si>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</si>
  <si>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</si>
  <si>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</si>
  <si>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</si>
  <si>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</si>
  <si>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</si>
  <si>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</si>
  <si>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</si>
  <si>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</si>
  <si>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</si>
  <si>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</si>
  <si>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</si>
  <si>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</si>
  <si>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</si>
  <si>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</si>
  <si>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</si>
  <si>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</si>
  <si>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</si>
  <si>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</si>
  <si>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</si>
  <si>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</si>
  <si>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</si>
  <si>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</si>
  <si>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</si>
  <si>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</si>
  <si>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</si>
  <si>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</si>
  <si>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</si>
  <si>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</si>
  <si>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</si>
  <si>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</si>
  <si>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</si>
  <si>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</si>
  <si>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</si>
  <si>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</si>
  <si>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</si>
  <si>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</si>
  <si>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</si>
  <si>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</si>
  <si>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</si>
  <si>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</si>
  <si>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</si>
  <si>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</si>
  <si>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</si>
  <si>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</si>
  <si>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</si>
  <si>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</si>
  <si>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</si>
  <si>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</si>
  <si>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</si>
  <si>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</si>
  <si>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</si>
  <si>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</si>
  <si>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</si>
  <si>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</si>
  <si>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</si>
  <si>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</si>
  <si>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</si>
  <si>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</si>
  <si>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</si>
  <si>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</si>
  <si>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</si>
  <si>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</si>
  <si>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</si>
  <si>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</si>
  <si>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</si>
  <si>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</si>
  <si>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</si>
  <si>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</si>
  <si>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</si>
  <si>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</si>
  <si>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</si>
  <si>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</si>
  <si>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</si>
  <si>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</si>
  <si>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</si>
  <si>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</si>
  <si>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</si>
  <si>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</si>
  <si>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</si>
  <si>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</si>
  <si>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</si>
  <si>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</si>
  <si>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</si>
  <si>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</si>
  <si>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</si>
  <si>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</si>
  <si>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</si>
  <si>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</si>
  <si>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</si>
  <si>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</si>
  <si>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</si>
  <si>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</si>
  <si>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</si>
  <si>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</si>
  <si>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</si>
  <si>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</si>
  <si>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</si>
  <si>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</si>
  <si>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</si>
  <si>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</si>
  <si>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</si>
  <si>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</si>
  <si>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</si>
  <si>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</si>
  <si>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</si>
  <si>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</si>
  <si>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</si>
  <si>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</si>
  <si>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</si>
  <si>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</si>
  <si>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</si>
  <si>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</si>
  <si>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</si>
  <si>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</si>
  <si>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</si>
  <si>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</si>
  <si>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</si>
  <si>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</si>
  <si>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</si>
  <si>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</si>
  <si>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</si>
  <si>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</si>
  <si>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</si>
  <si>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</si>
  <si>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</si>
  <si>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</si>
  <si>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</si>
  <si>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</si>
  <si>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</si>
  <si>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</si>
  <si>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</si>
  <si>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</si>
  <si>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</si>
  <si>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</si>
  <si>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</si>
  <si>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</si>
  <si>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</si>
  <si>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</si>
  <si>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</si>
  <si>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</si>
  <si>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</si>
  <si>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</si>
  <si>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</si>
  <si>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</si>
  <si>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</si>
  <si>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</si>
  <si>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</si>
  <si>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</si>
  <si>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</si>
  <si>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</si>
  <si>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</si>
  <si>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</si>
  <si>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</si>
  <si>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</si>
  <si>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</si>
  <si>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</si>
  <si>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</si>
  <si>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</si>
  <si>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</si>
  <si>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</si>
  <si>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</si>
  <si>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</si>
  <si>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</si>
  <si>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</si>
  <si>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</si>
  <si>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</si>
  <si>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</si>
  <si>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</si>
  <si>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</si>
  <si>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</si>
  <si>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</si>
  <si>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</si>
  <si>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</si>
  <si>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</si>
  <si>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</si>
  <si>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</si>
  <si>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</si>
  <si>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</si>
  <si>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</si>
  <si>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</si>
  <si>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</si>
  <si>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</si>
  <si>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</si>
  <si>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</si>
  <si>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</si>
  <si>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</si>
  <si>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</si>
  <si>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</si>
  <si>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</si>
  <si>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</si>
  <si>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</si>
  <si>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</si>
  <si>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</si>
  <si>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</si>
  <si>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</si>
  <si>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</si>
  <si>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</si>
  <si>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</si>
  <si>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</si>
  <si>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</si>
  <si>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</si>
  <si>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</si>
  <si>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</si>
  <si>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</si>
  <si>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</si>
  <si>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</si>
  <si>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</si>
  <si>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</si>
  <si>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</si>
  <si>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</si>
  <si>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</si>
  <si>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</si>
  <si>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</si>
  <si>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</si>
  <si>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</si>
  <si>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</si>
  <si>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</si>
  <si>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</si>
  <si>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</si>
  <si>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</si>
  <si>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</si>
  <si>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</si>
  <si>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</si>
  <si>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</si>
  <si>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</si>
  <si>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</si>
  <si>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</si>
  <si>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</si>
  <si>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</si>
  <si>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</si>
  <si>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</si>
  <si>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</si>
  <si>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</si>
  <si>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</si>
  <si>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</si>
  <si>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</si>
  <si>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</si>
  <si>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</si>
  <si>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</si>
  <si>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</si>
  <si>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</si>
  <si>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</si>
  <si>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</si>
  <si>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</si>
  <si>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</si>
  <si>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</si>
  <si>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</si>
  <si>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</si>
  <si>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</si>
  <si>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</si>
  <si>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</si>
  <si>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</si>
  <si>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</si>
  <si>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</si>
  <si>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</si>
  <si>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</si>
  <si>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</si>
  <si>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</si>
  <si>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</si>
  <si>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</si>
  <si>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</si>
  <si>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</si>
  <si>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</si>
  <si>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</si>
  <si>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</si>
  <si>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</si>
  <si>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</si>
  <si>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</si>
  <si>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</si>
  <si>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</si>
  <si>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</si>
  <si>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</si>
  <si>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</si>
  <si>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</si>
  <si>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</si>
  <si>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</si>
  <si>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</si>
  <si>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</si>
  <si>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</si>
  <si>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</si>
  <si>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</si>
  <si>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</si>
  <si>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</si>
  <si>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</si>
  <si>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</si>
  <si>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</si>
  <si>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</si>
  <si>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</si>
  <si>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</si>
  <si>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</si>
  <si>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</si>
  <si>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</si>
  <si>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</si>
  <si>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</si>
  <si>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</si>
  <si>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</si>
  <si>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</si>
  <si>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</si>
  <si>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</si>
  <si>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</si>
  <si>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</si>
  <si>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</si>
  <si>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</si>
  <si>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</si>
  <si>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</si>
  <si>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</si>
  <si>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</si>
  <si>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</si>
  <si>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</si>
  <si>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</si>
  <si>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</si>
  <si>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</si>
  <si>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</si>
  <si>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</si>
  <si>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</si>
  <si>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</si>
  <si>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</si>
  <si>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</si>
  <si>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</si>
  <si>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</si>
  <si>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</si>
  <si>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</si>
  <si>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</si>
  <si>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</si>
  <si>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</si>
  <si>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</si>
  <si>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</si>
  <si>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</si>
  <si>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</si>
  <si>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</si>
  <si>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</si>
  <si>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</si>
  <si>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</si>
  <si>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</si>
  <si>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</si>
  <si>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</si>
  <si>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</si>
  <si>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</si>
  <si>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</si>
  <si>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</si>
  <si>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</si>
  <si>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</si>
  <si>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</si>
  <si>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</si>
  <si>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</si>
  <si>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</si>
  <si>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</si>
  <si>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</si>
  <si>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</si>
  <si>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</si>
  <si>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</si>
  <si>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</si>
  <si>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</si>
  <si>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</si>
  <si>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</si>
  <si>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</si>
  <si>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</si>
  <si>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</si>
  <si>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</si>
  <si>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</si>
  <si>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</si>
  <si>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</si>
  <si>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</si>
  <si>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</si>
  <si>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</si>
  <si>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</si>
  <si>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</si>
  <si>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</si>
  <si>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</si>
  <si>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</si>
  <si>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</si>
  <si>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</si>
  <si>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</si>
  <si>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</si>
  <si>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</si>
  <si>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</si>
  <si>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</si>
  <si>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</si>
  <si>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</si>
  <si>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</si>
  <si>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</si>
  <si>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</si>
  <si>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</si>
  <si>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</si>
  <si>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</si>
  <si>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</si>
  <si>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</si>
  <si>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</si>
  <si>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</si>
  <si>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</si>
  <si>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</si>
  <si>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</si>
  <si>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</si>
  <si>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</si>
  <si>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</si>
  <si>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</si>
  <si>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</si>
  <si>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</si>
  <si>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</si>
  <si>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</si>
  <si>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</si>
  <si>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</si>
  <si>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</si>
  <si>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</si>
  <si>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</si>
  <si>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</si>
  <si>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</si>
  <si>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</si>
  <si>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</si>
  <si>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</si>
  <si>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</si>
  <si>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</si>
  <si>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</si>
  <si>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</si>
  <si>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</si>
  <si>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</si>
  <si>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</si>
  <si>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</si>
  <si>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</si>
  <si>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</si>
  <si>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</si>
  <si>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</si>
  <si>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</si>
  <si>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</si>
  <si>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</si>
  <si>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</si>
  <si>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</si>
  <si>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</si>
  <si>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</si>
  <si>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</si>
  <si>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</si>
  <si>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</si>
  <si>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</si>
  <si>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</si>
  <si>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</si>
  <si>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</si>
  <si>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</si>
  <si>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</si>
  <si>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</si>
  <si>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</si>
  <si>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</si>
  <si>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</si>
  <si>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</si>
  <si>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</si>
  <si>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</si>
  <si>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</si>
  <si>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</si>
  <si>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</si>
  <si>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</si>
  <si>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</si>
  <si>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</si>
  <si>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</si>
  <si>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</si>
  <si>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</si>
  <si>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</si>
  <si>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</si>
  <si>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</si>
  <si>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</si>
  <si>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</si>
  <si>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</si>
  <si>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</si>
  <si>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</si>
  <si>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</si>
  <si>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</si>
  <si>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</si>
  <si>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</si>
  <si>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</si>
  <si>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</si>
  <si>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</si>
  <si>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</si>
  <si>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</si>
  <si>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</si>
  <si>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</si>
  <si>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</si>
  <si>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</si>
  <si>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</si>
  <si>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</si>
  <si>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</si>
  <si>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</si>
  <si>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</si>
  <si>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</si>
  <si>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</si>
  <si>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</si>
  <si>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</si>
  <si>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</si>
  <si>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</si>
  <si>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</si>
  <si>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</si>
  <si>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</si>
  <si>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</si>
  <si>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</si>
  <si>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</si>
  <si>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</si>
  <si>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</si>
  <si>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</si>
  <si>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</si>
  <si>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</si>
  <si>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</si>
  <si>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</si>
  <si>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</si>
  <si>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</si>
  <si>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</si>
  <si>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</si>
  <si>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</si>
  <si>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</si>
  <si>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</si>
  <si>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</si>
  <si>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</si>
  <si>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</si>
  <si>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</si>
  <si>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</si>
  <si>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</si>
  <si>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</si>
  <si>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</si>
  <si>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</si>
  <si>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</si>
  <si>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</si>
  <si>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</si>
  <si>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</si>
  <si>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</si>
  <si>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</si>
  <si>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</si>
  <si>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</si>
  <si>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</si>
  <si>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</si>
  <si>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</si>
  <si>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</si>
  <si>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</si>
  <si>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</si>
  <si>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</si>
  <si>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</si>
  <si>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</si>
  <si>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</si>
  <si>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</si>
  <si>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</si>
  <si>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</si>
  <si>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</si>
  <si>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</si>
  <si>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</si>
  <si>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</si>
  <si>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</si>
  <si>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</si>
  <si>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</si>
  <si>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</si>
  <si>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</si>
  <si>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</si>
  <si>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</si>
  <si>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</si>
  <si>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</si>
  <si>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</si>
  <si>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</si>
  <si>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</si>
  <si>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</si>
  <si>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</si>
  <si>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</si>
  <si>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</si>
  <si>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</si>
  <si>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</si>
  <si>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</si>
  <si>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</si>
  <si>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</si>
  <si>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</si>
  <si>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</si>
  <si>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</si>
  <si>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</si>
  <si>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</si>
  <si>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</si>
  <si>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</si>
  <si>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</si>
  <si>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</si>
  <si>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</si>
  <si>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</si>
  <si>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</si>
  <si>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</si>
  <si>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</si>
  <si>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</si>
  <si>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</si>
  <si>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</si>
  <si>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</si>
  <si>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</si>
  <si>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</si>
  <si>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</si>
  <si>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</si>
  <si>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</si>
  <si>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</si>
  <si>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</si>
  <si>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</si>
  <si>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</si>
  <si>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</si>
  <si>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</si>
  <si>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</si>
  <si>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</si>
  <si>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</si>
  <si>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</si>
  <si>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</si>
  <si>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</si>
  <si>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</si>
  <si>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</si>
  <si>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</si>
  <si>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</si>
  <si>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</si>
  <si>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</si>
  <si>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</si>
  <si>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</si>
  <si>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</si>
  <si>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</si>
  <si>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</si>
  <si>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</si>
  <si>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</si>
  <si>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</si>
  <si>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</si>
  <si>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</si>
  <si>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</si>
  <si>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</si>
  <si>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</si>
  <si>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</si>
  <si>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</si>
  <si>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</si>
  <si>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</si>
  <si>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</si>
  <si>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</si>
  <si>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</si>
  <si>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</si>
  <si>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</si>
  <si>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</si>
  <si>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</si>
  <si>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</si>
  <si>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</si>
  <si>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</si>
  <si>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</si>
  <si>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</si>
  <si>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</si>
  <si>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</si>
  <si>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</si>
  <si>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</si>
  <si>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</si>
  <si>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</si>
  <si>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</si>
  <si>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</si>
  <si>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</si>
  <si>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</si>
  <si>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</si>
  <si>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</si>
  <si>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</si>
  <si>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</si>
  <si>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</si>
  <si>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</si>
  <si>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</si>
  <si>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</si>
  <si>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</si>
  <si>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</si>
  <si>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</si>
  <si>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</si>
  <si>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</si>
  <si>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</si>
  <si>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</si>
  <si>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</si>
  <si>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</si>
  <si>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</si>
  <si>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</si>
  <si>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</si>
  <si>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</si>
  <si>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</si>
  <si>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</si>
  <si>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</si>
  <si>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</si>
  <si>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</si>
  <si>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</si>
  <si>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</si>
  <si>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</si>
  <si>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</si>
  <si>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</si>
  <si>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</si>
  <si>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</si>
  <si>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</si>
  <si>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</si>
  <si>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</si>
  <si>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</si>
  <si>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</si>
  <si>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</si>
  <si>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</si>
  <si>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</si>
  <si>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</si>
  <si>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</si>
  <si>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</si>
  <si>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</si>
  <si>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</si>
  <si>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</si>
  <si>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</si>
  <si>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</si>
  <si>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</si>
  <si>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</si>
  <si>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</si>
  <si>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</si>
  <si>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</si>
  <si>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</si>
  <si>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</si>
  <si>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</si>
  <si>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</si>
  <si>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</si>
  <si>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</si>
  <si>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</si>
  <si>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</si>
  <si>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</si>
  <si>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</si>
  <si>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</si>
  <si>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</si>
  <si>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</si>
  <si>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</si>
  <si>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</si>
  <si>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</si>
  <si>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</si>
  <si>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</si>
  <si>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</si>
  <si>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</si>
  <si>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</si>
  <si>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</si>
  <si>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</si>
  <si>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</si>
  <si>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</si>
  <si>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</si>
  <si>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</si>
  <si>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</si>
  <si>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</si>
  <si>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</si>
  <si>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</si>
  <si>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</si>
  <si>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</si>
  <si>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</si>
  <si>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</si>
  <si>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</si>
  <si>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</si>
  <si>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</si>
  <si>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</si>
  <si>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</si>
  <si>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</si>
  <si>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</si>
  <si>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</si>
  <si>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</si>
  <si>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</si>
  <si>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</si>
  <si>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</si>
  <si>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11018</t>
  </si>
  <si>
    <t>HEMIKSEM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</si>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</sst>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11018</v>
      </c>
      <c r="B6" s="386"/>
      <c r="C6" s="387"/>
    </row>
    <row r="7" spans="1:7" s="384" customFormat="1" ht="15.75" customHeight="1">
      <c r="A7" s="388" t="str">
        <f>txtMunicipality</f>
        <v>HEMIKSEM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8486.0550000000003</v>
      </c>
      <c r="D10" s="676">
        <f ca="1">tertiair!C16</f>
        <v>0</v>
      </c>
      <c r="E10" s="676">
        <f ca="1">tertiair!D16</f>
        <v>9703.9306759999999</v>
      </c>
      <c r="F10" s="676">
        <f>tertiair!E16</f>
        <v>156.89045176062962</v>
      </c>
      <c r="G10" s="676">
        <f ca="1">tertiair!F16</f>
        <v>1312.5292395031342</v>
      </c>
      <c r="H10" s="676">
        <f>tertiair!G16</f>
        <v>0</v>
      </c>
      <c r="I10" s="676">
        <f>tertiair!H16</f>
        <v>0</v>
      </c>
      <c r="J10" s="676">
        <f>tertiair!I16</f>
        <v>0</v>
      </c>
      <c r="K10" s="676">
        <f>tertiair!J16</f>
        <v>0</v>
      </c>
      <c r="L10" s="676">
        <f>tertiair!K16</f>
        <v>0</v>
      </c>
      <c r="M10" s="676">
        <f ca="1">tertiair!L16</f>
        <v>0</v>
      </c>
      <c r="N10" s="676">
        <f>tertiair!M16</f>
        <v>0</v>
      </c>
      <c r="O10" s="676">
        <f ca="1">tertiair!N16</f>
        <v>90.390422813695906</v>
      </c>
      <c r="P10" s="676">
        <f>tertiair!O16</f>
        <v>0</v>
      </c>
      <c r="Q10" s="677">
        <f>tertiair!P16</f>
        <v>0</v>
      </c>
      <c r="R10" s="679">
        <f ca="1">SUM(C10:Q10)</f>
        <v>19749.79579007746</v>
      </c>
      <c r="S10" s="67"/>
    </row>
    <row r="11" spans="1:19" s="445" customFormat="1">
      <c r="A11" s="791" t="s">
        <v>220</v>
      </c>
      <c r="B11" s="796"/>
      <c r="C11" s="676">
        <f>huishoudens!B8</f>
        <v>17382.429073663876</v>
      </c>
      <c r="D11" s="676">
        <f>huishoudens!C8</f>
        <v>0</v>
      </c>
      <c r="E11" s="676">
        <f>huishoudens!D8</f>
        <v>60611.786906000001</v>
      </c>
      <c r="F11" s="676">
        <f>huishoudens!E8</f>
        <v>226.23362251070321</v>
      </c>
      <c r="G11" s="676">
        <f>huishoudens!F8</f>
        <v>7722.3479781862898</v>
      </c>
      <c r="H11" s="676">
        <f>huishoudens!G8</f>
        <v>0</v>
      </c>
      <c r="I11" s="676">
        <f>huishoudens!H8</f>
        <v>0</v>
      </c>
      <c r="J11" s="676">
        <f>huishoudens!I8</f>
        <v>0</v>
      </c>
      <c r="K11" s="676">
        <f>huishoudens!J8</f>
        <v>173.88769809890363</v>
      </c>
      <c r="L11" s="676">
        <f>huishoudens!K8</f>
        <v>0</v>
      </c>
      <c r="M11" s="676">
        <f>huishoudens!L8</f>
        <v>0</v>
      </c>
      <c r="N11" s="676">
        <f>huishoudens!M8</f>
        <v>0</v>
      </c>
      <c r="O11" s="676">
        <f>huishoudens!N8</f>
        <v>4721.5541210227111</v>
      </c>
      <c r="P11" s="676">
        <f>huishoudens!O8</f>
        <v>20.323333333333334</v>
      </c>
      <c r="Q11" s="677">
        <f>huishoudens!P8</f>
        <v>0</v>
      </c>
      <c r="R11" s="679">
        <f>SUM(C11:Q11)</f>
        <v>90858.562732815801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27144.345000000001</v>
      </c>
      <c r="D13" s="676">
        <f>industrie!C18</f>
        <v>0</v>
      </c>
      <c r="E13" s="676">
        <f>industrie!D18</f>
        <v>55161.426650000009</v>
      </c>
      <c r="F13" s="676">
        <f>industrie!E18</f>
        <v>274.60132287185837</v>
      </c>
      <c r="G13" s="676">
        <f>industrie!F18</f>
        <v>5385.95268415596</v>
      </c>
      <c r="H13" s="676">
        <f>industrie!G18</f>
        <v>0</v>
      </c>
      <c r="I13" s="676">
        <f>industrie!H18</f>
        <v>0</v>
      </c>
      <c r="J13" s="676">
        <f>industrie!I18</f>
        <v>0</v>
      </c>
      <c r="K13" s="676">
        <f>industrie!J18</f>
        <v>186.85238518393612</v>
      </c>
      <c r="L13" s="676">
        <f>industrie!K18</f>
        <v>0</v>
      </c>
      <c r="M13" s="676">
        <f>industrie!L18</f>
        <v>0</v>
      </c>
      <c r="N13" s="676">
        <f>industrie!M18</f>
        <v>0</v>
      </c>
      <c r="O13" s="676">
        <f>industrie!N18</f>
        <v>465.15465785834243</v>
      </c>
      <c r="P13" s="676">
        <f>industrie!O18</f>
        <v>0</v>
      </c>
      <c r="Q13" s="677">
        <f>industrie!P18</f>
        <v>0</v>
      </c>
      <c r="R13" s="679">
        <f>SUM(C13:Q13)</f>
        <v>88618.332700070096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53012.829073663874</v>
      </c>
      <c r="D16" s="709">
        <f t="shared" ref="D16:R16" ca="1" si="0">SUM(D9:D15)</f>
        <v>0</v>
      </c>
      <c r="E16" s="709">
        <f t="shared" ca="1" si="0"/>
        <v>125477.14423200001</v>
      </c>
      <c r="F16" s="709">
        <f t="shared" si="0"/>
        <v>657.72539714319123</v>
      </c>
      <c r="G16" s="709">
        <f t="shared" ca="1" si="0"/>
        <v>14420.829901845384</v>
      </c>
      <c r="H16" s="709">
        <f t="shared" si="0"/>
        <v>0</v>
      </c>
      <c r="I16" s="709">
        <f t="shared" si="0"/>
        <v>0</v>
      </c>
      <c r="J16" s="709">
        <f t="shared" si="0"/>
        <v>0</v>
      </c>
      <c r="K16" s="709">
        <f t="shared" si="0"/>
        <v>360.74008328283975</v>
      </c>
      <c r="L16" s="709">
        <f t="shared" si="0"/>
        <v>0</v>
      </c>
      <c r="M16" s="709">
        <f t="shared" ca="1" si="0"/>
        <v>0</v>
      </c>
      <c r="N16" s="709">
        <f t="shared" si="0"/>
        <v>0</v>
      </c>
      <c r="O16" s="709">
        <f t="shared" ca="1" si="0"/>
        <v>5277.0992016947494</v>
      </c>
      <c r="P16" s="709">
        <f t="shared" si="0"/>
        <v>20.323333333333334</v>
      </c>
      <c r="Q16" s="709">
        <f t="shared" si="0"/>
        <v>0</v>
      </c>
      <c r="R16" s="709">
        <f t="shared" ca="1" si="0"/>
        <v>199226.69122296336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5.5452268871851036</v>
      </c>
      <c r="D19" s="676">
        <f>transport!C54</f>
        <v>0</v>
      </c>
      <c r="E19" s="676">
        <f>transport!D54</f>
        <v>0</v>
      </c>
      <c r="F19" s="676">
        <f>transport!E54</f>
        <v>0</v>
      </c>
      <c r="G19" s="676">
        <f>transport!F54</f>
        <v>0</v>
      </c>
      <c r="H19" s="676">
        <f>transport!G54</f>
        <v>1202.9812998823186</v>
      </c>
      <c r="I19" s="676">
        <f>transport!H54</f>
        <v>0</v>
      </c>
      <c r="J19" s="676">
        <f>transport!I54</f>
        <v>0</v>
      </c>
      <c r="K19" s="676">
        <f>transport!J54</f>
        <v>0</v>
      </c>
      <c r="L19" s="676">
        <f>transport!K54</f>
        <v>0</v>
      </c>
      <c r="M19" s="676">
        <f>transport!L54</f>
        <v>0</v>
      </c>
      <c r="N19" s="676">
        <f>transport!M54</f>
        <v>51.507038310212337</v>
      </c>
      <c r="O19" s="676">
        <f>transport!N54</f>
        <v>0</v>
      </c>
      <c r="P19" s="676">
        <f>transport!O54</f>
        <v>0</v>
      </c>
      <c r="Q19" s="677">
        <f>transport!P54</f>
        <v>0</v>
      </c>
      <c r="R19" s="679">
        <f>SUM(C19:Q19)</f>
        <v>1260.033565079716</v>
      </c>
      <c r="S19" s="67"/>
    </row>
    <row r="20" spans="1:19" s="445" customFormat="1">
      <c r="A20" s="791" t="s">
        <v>302</v>
      </c>
      <c r="B20" s="796"/>
      <c r="C20" s="676">
        <f>transport!B14</f>
        <v>0.36514669859752713</v>
      </c>
      <c r="D20" s="676">
        <f>transport!C14</f>
        <v>0</v>
      </c>
      <c r="E20" s="676">
        <f>transport!D14</f>
        <v>1.1497508848171005</v>
      </c>
      <c r="F20" s="676">
        <f>transport!E14</f>
        <v>119.30430561946555</v>
      </c>
      <c r="G20" s="676">
        <f>transport!F14</f>
        <v>0</v>
      </c>
      <c r="H20" s="676">
        <f>transport!G14</f>
        <v>21934.325229841405</v>
      </c>
      <c r="I20" s="676">
        <f>transport!H14</f>
        <v>3813.0072033170045</v>
      </c>
      <c r="J20" s="676">
        <f>transport!I14</f>
        <v>0</v>
      </c>
      <c r="K20" s="676">
        <f>transport!J14</f>
        <v>0</v>
      </c>
      <c r="L20" s="676">
        <f>transport!K14</f>
        <v>0</v>
      </c>
      <c r="M20" s="676">
        <f>transport!L14</f>
        <v>0</v>
      </c>
      <c r="N20" s="676">
        <f>transport!M14</f>
        <v>1120.4065744111106</v>
      </c>
      <c r="O20" s="676">
        <f>transport!N14</f>
        <v>0</v>
      </c>
      <c r="P20" s="676">
        <f>transport!O14</f>
        <v>0</v>
      </c>
      <c r="Q20" s="677">
        <f>transport!P14</f>
        <v>0</v>
      </c>
      <c r="R20" s="679">
        <f>SUM(C20:Q20)</f>
        <v>26988.5582107724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5.9103735857826312</v>
      </c>
      <c r="D22" s="794">
        <f t="shared" ref="D22:R22" si="1">SUM(D18:D21)</f>
        <v>0</v>
      </c>
      <c r="E22" s="794">
        <f t="shared" si="1"/>
        <v>1.1497508848171005</v>
      </c>
      <c r="F22" s="794">
        <f t="shared" si="1"/>
        <v>119.30430561946555</v>
      </c>
      <c r="G22" s="794">
        <f t="shared" si="1"/>
        <v>0</v>
      </c>
      <c r="H22" s="794">
        <f t="shared" si="1"/>
        <v>23137.306529723723</v>
      </c>
      <c r="I22" s="794">
        <f t="shared" si="1"/>
        <v>3813.0072033170045</v>
      </c>
      <c r="J22" s="794">
        <f t="shared" si="1"/>
        <v>0</v>
      </c>
      <c r="K22" s="794">
        <f t="shared" si="1"/>
        <v>0</v>
      </c>
      <c r="L22" s="794">
        <f t="shared" si="1"/>
        <v>0</v>
      </c>
      <c r="M22" s="794">
        <f t="shared" si="1"/>
        <v>0</v>
      </c>
      <c r="N22" s="794">
        <f t="shared" si="1"/>
        <v>1171.9136127213228</v>
      </c>
      <c r="O22" s="794">
        <f t="shared" si="1"/>
        <v>0</v>
      </c>
      <c r="P22" s="794">
        <f t="shared" si="1"/>
        <v>0</v>
      </c>
      <c r="Q22" s="794">
        <f t="shared" si="1"/>
        <v>0</v>
      </c>
      <c r="R22" s="794">
        <f t="shared" si="1"/>
        <v>28248.591775852117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40.338000000000001</v>
      </c>
      <c r="D24" s="676">
        <f>+landbouw!C8</f>
        <v>0</v>
      </c>
      <c r="E24" s="676">
        <f>+landbouw!D8</f>
        <v>41.751776</v>
      </c>
      <c r="F24" s="676">
        <f>+landbouw!E8</f>
        <v>0.42242826882087764</v>
      </c>
      <c r="G24" s="676">
        <f>+landbouw!F8</f>
        <v>172.67729037049565</v>
      </c>
      <c r="H24" s="676">
        <f>+landbouw!G8</f>
        <v>0</v>
      </c>
      <c r="I24" s="676">
        <f>+landbouw!H8</f>
        <v>0</v>
      </c>
      <c r="J24" s="676">
        <f>+landbouw!I8</f>
        <v>0</v>
      </c>
      <c r="K24" s="676">
        <f>+landbouw!J8</f>
        <v>3.602544955662017</v>
      </c>
      <c r="L24" s="676">
        <f>+landbouw!K8</f>
        <v>0</v>
      </c>
      <c r="M24" s="676">
        <f>+landbouw!L8</f>
        <v>0</v>
      </c>
      <c r="N24" s="676">
        <f>+landbouw!M8</f>
        <v>0</v>
      </c>
      <c r="O24" s="676">
        <f>+landbouw!N8</f>
        <v>0</v>
      </c>
      <c r="P24" s="676">
        <f>+landbouw!O8</f>
        <v>0</v>
      </c>
      <c r="Q24" s="677">
        <f>+landbouw!P8</f>
        <v>0</v>
      </c>
      <c r="R24" s="679">
        <f>SUM(C24:Q24)</f>
        <v>258.79203959497858</v>
      </c>
      <c r="S24" s="67"/>
    </row>
    <row r="25" spans="1:19" s="445" customFormat="1" ht="15" thickBot="1">
      <c r="A25" s="813" t="s">
        <v>895</v>
      </c>
      <c r="B25" s="968"/>
      <c r="C25" s="969">
        <f>IF(Onbekend_ele_kWh="---",0,Onbekend_ele_kWh)/1000+IF(REST_rest_ele_kWh="---",0,REST_rest_ele_kWh)/1000</f>
        <v>758.57899999999995</v>
      </c>
      <c r="D25" s="969"/>
      <c r="E25" s="969">
        <f>IF(onbekend_gas_kWh="---",0,onbekend_gas_kWh)/1000+IF(REST_rest_gas_kWh="---",0,REST_rest_gas_kWh)/1000</f>
        <v>551.95100000000002</v>
      </c>
      <c r="F25" s="969"/>
      <c r="G25" s="969"/>
      <c r="H25" s="969"/>
      <c r="I25" s="969"/>
      <c r="J25" s="969"/>
      <c r="K25" s="969"/>
      <c r="L25" s="969"/>
      <c r="M25" s="969"/>
      <c r="N25" s="969"/>
      <c r="O25" s="969"/>
      <c r="P25" s="969"/>
      <c r="Q25" s="970"/>
      <c r="R25" s="679">
        <f>SUM(C25:Q25)</f>
        <v>1310.53</v>
      </c>
      <c r="S25" s="67"/>
    </row>
    <row r="26" spans="1:19" s="445" customFormat="1" ht="15.75" thickBot="1">
      <c r="A26" s="682" t="s">
        <v>896</v>
      </c>
      <c r="B26" s="799"/>
      <c r="C26" s="794">
        <f>SUM(C24:C25)</f>
        <v>798.91699999999992</v>
      </c>
      <c r="D26" s="794">
        <f t="shared" ref="D26:R26" si="2">SUM(D24:D25)</f>
        <v>0</v>
      </c>
      <c r="E26" s="794">
        <f t="shared" si="2"/>
        <v>593.70277599999997</v>
      </c>
      <c r="F26" s="794">
        <f t="shared" si="2"/>
        <v>0.42242826882087764</v>
      </c>
      <c r="G26" s="794">
        <f t="shared" si="2"/>
        <v>172.67729037049565</v>
      </c>
      <c r="H26" s="794">
        <f t="shared" si="2"/>
        <v>0</v>
      </c>
      <c r="I26" s="794">
        <f t="shared" si="2"/>
        <v>0</v>
      </c>
      <c r="J26" s="794">
        <f t="shared" si="2"/>
        <v>0</v>
      </c>
      <c r="K26" s="794">
        <f t="shared" si="2"/>
        <v>3.602544955662017</v>
      </c>
      <c r="L26" s="794">
        <f t="shared" si="2"/>
        <v>0</v>
      </c>
      <c r="M26" s="794">
        <f t="shared" si="2"/>
        <v>0</v>
      </c>
      <c r="N26" s="794">
        <f t="shared" si="2"/>
        <v>0</v>
      </c>
      <c r="O26" s="794">
        <f t="shared" si="2"/>
        <v>0</v>
      </c>
      <c r="P26" s="794">
        <f t="shared" si="2"/>
        <v>0</v>
      </c>
      <c r="Q26" s="794">
        <f t="shared" si="2"/>
        <v>0</v>
      </c>
      <c r="R26" s="794">
        <f t="shared" si="2"/>
        <v>1569.3220395949786</v>
      </c>
      <c r="S26" s="67"/>
    </row>
    <row r="27" spans="1:19" s="445" customFormat="1" ht="17.25" thickTop="1" thickBot="1">
      <c r="A27" s="683" t="s">
        <v>115</v>
      </c>
      <c r="B27" s="786"/>
      <c r="C27" s="684">
        <f ca="1">C22+C16+C26</f>
        <v>53817.656447249661</v>
      </c>
      <c r="D27" s="684">
        <f t="shared" ref="D27:R27" ca="1" si="3">D22+D16+D26</f>
        <v>0</v>
      </c>
      <c r="E27" s="684">
        <f t="shared" ca="1" si="3"/>
        <v>126071.99675888482</v>
      </c>
      <c r="F27" s="684">
        <f t="shared" si="3"/>
        <v>777.45213103147773</v>
      </c>
      <c r="G27" s="684">
        <f t="shared" ca="1" si="3"/>
        <v>14593.507192215879</v>
      </c>
      <c r="H27" s="684">
        <f t="shared" si="3"/>
        <v>23137.306529723723</v>
      </c>
      <c r="I27" s="684">
        <f t="shared" si="3"/>
        <v>3813.0072033170045</v>
      </c>
      <c r="J27" s="684">
        <f t="shared" si="3"/>
        <v>0</v>
      </c>
      <c r="K27" s="684">
        <f t="shared" si="3"/>
        <v>364.34262823850179</v>
      </c>
      <c r="L27" s="684">
        <f t="shared" si="3"/>
        <v>0</v>
      </c>
      <c r="M27" s="684">
        <f t="shared" ca="1" si="3"/>
        <v>0</v>
      </c>
      <c r="N27" s="684">
        <f t="shared" si="3"/>
        <v>1171.9136127213228</v>
      </c>
      <c r="O27" s="684">
        <f t="shared" ca="1" si="3"/>
        <v>5277.0992016947494</v>
      </c>
      <c r="P27" s="684">
        <f t="shared" si="3"/>
        <v>20.323333333333334</v>
      </c>
      <c r="Q27" s="684">
        <f t="shared" si="3"/>
        <v>0</v>
      </c>
      <c r="R27" s="684">
        <f t="shared" ca="1" si="3"/>
        <v>229044.60503841046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1857.2133139267992</v>
      </c>
      <c r="D40" s="676">
        <f ca="1">tertiair!C20</f>
        <v>0</v>
      </c>
      <c r="E40" s="676">
        <f ca="1">tertiair!D20</f>
        <v>1960.193996552</v>
      </c>
      <c r="F40" s="676">
        <f>tertiair!E20</f>
        <v>35.614132549662926</v>
      </c>
      <c r="G40" s="676">
        <f ca="1">tertiair!F20</f>
        <v>350.44530694733686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4203.4667499757988</v>
      </c>
    </row>
    <row r="41" spans="1:18">
      <c r="A41" s="804" t="s">
        <v>220</v>
      </c>
      <c r="B41" s="811"/>
      <c r="C41" s="676">
        <f ca="1">huishoudens!B12</f>
        <v>3804.2268997781453</v>
      </c>
      <c r="D41" s="676">
        <f ca="1">huishoudens!C12</f>
        <v>0</v>
      </c>
      <c r="E41" s="676">
        <f>huishoudens!D12</f>
        <v>12243.580955012001</v>
      </c>
      <c r="F41" s="676">
        <f>huishoudens!E12</f>
        <v>51.355032309929634</v>
      </c>
      <c r="G41" s="676">
        <f>huishoudens!F12</f>
        <v>2061.8669101757396</v>
      </c>
      <c r="H41" s="676">
        <f>huishoudens!G12</f>
        <v>0</v>
      </c>
      <c r="I41" s="676">
        <f>huishoudens!H12</f>
        <v>0</v>
      </c>
      <c r="J41" s="676">
        <f>huishoudens!I12</f>
        <v>0</v>
      </c>
      <c r="K41" s="676">
        <f>huishoudens!J12</f>
        <v>61.556245127011884</v>
      </c>
      <c r="L41" s="676">
        <f>huishoudens!K12</f>
        <v>0</v>
      </c>
      <c r="M41" s="676">
        <f>huishoudens!L12</f>
        <v>0</v>
      </c>
      <c r="N41" s="676">
        <f>huishoudens!M12</f>
        <v>0</v>
      </c>
      <c r="O41" s="676">
        <f>huishoudens!N12</f>
        <v>0</v>
      </c>
      <c r="P41" s="676">
        <f>huishoudens!O12</f>
        <v>0</v>
      </c>
      <c r="Q41" s="751">
        <f>huishoudens!P12</f>
        <v>0</v>
      </c>
      <c r="R41" s="832">
        <f t="shared" ca="1" si="4"/>
        <v>18222.586042402829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5940.6684179895537</v>
      </c>
      <c r="D43" s="676">
        <f ca="1">industrie!C22</f>
        <v>0</v>
      </c>
      <c r="E43" s="676">
        <f>industrie!D22</f>
        <v>11142.608183300003</v>
      </c>
      <c r="F43" s="676">
        <f>industrie!E22</f>
        <v>62.334500291911851</v>
      </c>
      <c r="G43" s="676">
        <f>industrie!F22</f>
        <v>1438.0493666696414</v>
      </c>
      <c r="H43" s="676">
        <f>industrie!G22</f>
        <v>0</v>
      </c>
      <c r="I43" s="676">
        <f>industrie!H22</f>
        <v>0</v>
      </c>
      <c r="J43" s="676">
        <f>industrie!I22</f>
        <v>0</v>
      </c>
      <c r="K43" s="676">
        <f>industrie!J22</f>
        <v>66.145744355113379</v>
      </c>
      <c r="L43" s="676">
        <f>industrie!K22</f>
        <v>0</v>
      </c>
      <c r="M43" s="676">
        <f>industrie!L22</f>
        <v>0</v>
      </c>
      <c r="N43" s="676">
        <f>industrie!M22</f>
        <v>0</v>
      </c>
      <c r="O43" s="676">
        <f>industrie!N22</f>
        <v>0</v>
      </c>
      <c r="P43" s="676">
        <f>industrie!O22</f>
        <v>0</v>
      </c>
      <c r="Q43" s="751">
        <f>industrie!P22</f>
        <v>0</v>
      </c>
      <c r="R43" s="831">
        <f t="shared" ca="1" si="4"/>
        <v>18649.806212606221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11602.108631694498</v>
      </c>
      <c r="D46" s="709">
        <f t="shared" ref="D46:Q46" ca="1" si="5">SUM(D39:D45)</f>
        <v>0</v>
      </c>
      <c r="E46" s="709">
        <f t="shared" ca="1" si="5"/>
        <v>25346.383134864001</v>
      </c>
      <c r="F46" s="709">
        <f t="shared" si="5"/>
        <v>149.30366515150439</v>
      </c>
      <c r="G46" s="709">
        <f t="shared" ca="1" si="5"/>
        <v>3850.3615837927182</v>
      </c>
      <c r="H46" s="709">
        <f t="shared" si="5"/>
        <v>0</v>
      </c>
      <c r="I46" s="709">
        <f t="shared" si="5"/>
        <v>0</v>
      </c>
      <c r="J46" s="709">
        <f t="shared" si="5"/>
        <v>0</v>
      </c>
      <c r="K46" s="709">
        <f t="shared" si="5"/>
        <v>127.70198948212527</v>
      </c>
      <c r="L46" s="709">
        <f t="shared" si="5"/>
        <v>0</v>
      </c>
      <c r="M46" s="709">
        <f t="shared" ca="1" si="5"/>
        <v>0</v>
      </c>
      <c r="N46" s="709">
        <f t="shared" si="5"/>
        <v>0</v>
      </c>
      <c r="O46" s="709">
        <f t="shared" ca="1" si="5"/>
        <v>0</v>
      </c>
      <c r="P46" s="709">
        <f t="shared" si="5"/>
        <v>0</v>
      </c>
      <c r="Q46" s="709">
        <f t="shared" si="5"/>
        <v>0</v>
      </c>
      <c r="R46" s="709">
        <f ca="1">SUM(R39:R45)</f>
        <v>41075.85900498485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1.2135991581040937</v>
      </c>
      <c r="D49" s="676">
        <f ca="1">transport!C58</f>
        <v>0</v>
      </c>
      <c r="E49" s="676">
        <f>transport!D58</f>
        <v>0</v>
      </c>
      <c r="F49" s="676">
        <f>transport!E58</f>
        <v>0</v>
      </c>
      <c r="G49" s="676">
        <f>transport!F58</f>
        <v>0</v>
      </c>
      <c r="H49" s="676">
        <f>transport!G58</f>
        <v>321.19600706857909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322.4096062266832</v>
      </c>
    </row>
    <row r="50" spans="1:18">
      <c r="A50" s="807" t="s">
        <v>302</v>
      </c>
      <c r="B50" s="817"/>
      <c r="C50" s="975">
        <f ca="1">transport!B18</f>
        <v>7.9914083772936129E-2</v>
      </c>
      <c r="D50" s="975">
        <f>transport!C18</f>
        <v>0</v>
      </c>
      <c r="E50" s="975">
        <f>transport!D18</f>
        <v>0.23224967873305433</v>
      </c>
      <c r="F50" s="975">
        <f>transport!E18</f>
        <v>27.082077375618681</v>
      </c>
      <c r="G50" s="975">
        <f>transport!F18</f>
        <v>0</v>
      </c>
      <c r="H50" s="975">
        <f>transport!G18</f>
        <v>5856.4648363676552</v>
      </c>
      <c r="I50" s="975">
        <f>transport!H18</f>
        <v>949.43879362593407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6833.2978711317137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1.2935132418770299</v>
      </c>
      <c r="D52" s="709">
        <f t="shared" ref="D52:Q52" ca="1" si="6">SUM(D48:D51)</f>
        <v>0</v>
      </c>
      <c r="E52" s="709">
        <f t="shared" si="6"/>
        <v>0.23224967873305433</v>
      </c>
      <c r="F52" s="709">
        <f t="shared" si="6"/>
        <v>27.082077375618681</v>
      </c>
      <c r="G52" s="709">
        <f t="shared" si="6"/>
        <v>0</v>
      </c>
      <c r="H52" s="709">
        <f t="shared" si="6"/>
        <v>6177.6608434362342</v>
      </c>
      <c r="I52" s="709">
        <f t="shared" si="6"/>
        <v>949.43879362593407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7155.7074773583972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8.828162280020484</v>
      </c>
      <c r="D54" s="975">
        <f ca="1">+landbouw!C12</f>
        <v>0</v>
      </c>
      <c r="E54" s="975">
        <f>+landbouw!D12</f>
        <v>8.4338587520000008</v>
      </c>
      <c r="F54" s="975">
        <f>+landbouw!E12</f>
        <v>9.5891217022339229E-2</v>
      </c>
      <c r="G54" s="975">
        <f>+landbouw!F12</f>
        <v>46.104836528922341</v>
      </c>
      <c r="H54" s="975">
        <f>+landbouw!G12</f>
        <v>0</v>
      </c>
      <c r="I54" s="975">
        <f>+landbouw!H12</f>
        <v>0</v>
      </c>
      <c r="J54" s="975">
        <f>+landbouw!I12</f>
        <v>0</v>
      </c>
      <c r="K54" s="975">
        <f>+landbouw!J12</f>
        <v>1.2753009143043539</v>
      </c>
      <c r="L54" s="975">
        <f>+landbouw!K12</f>
        <v>0</v>
      </c>
      <c r="M54" s="975">
        <f>+landbouw!L12</f>
        <v>0</v>
      </c>
      <c r="N54" s="975">
        <f>+landbouw!M12</f>
        <v>0</v>
      </c>
      <c r="O54" s="975">
        <f>+landbouw!N12</f>
        <v>0</v>
      </c>
      <c r="P54" s="975">
        <f>+landbouw!O12</f>
        <v>0</v>
      </c>
      <c r="Q54" s="976">
        <f>+landbouw!P12</f>
        <v>0</v>
      </c>
      <c r="R54" s="708">
        <f ca="1">SUM(C54:Q54)</f>
        <v>64.738049692269513</v>
      </c>
    </row>
    <row r="55" spans="1:18" ht="15" thickBot="1">
      <c r="A55" s="807" t="s">
        <v>895</v>
      </c>
      <c r="B55" s="817"/>
      <c r="C55" s="975">
        <f ca="1">C25*'EF ele_warmte'!B12</f>
        <v>166.01860563775244</v>
      </c>
      <c r="D55" s="975"/>
      <c r="E55" s="975">
        <f>E25*EF_CO2_aardgas</f>
        <v>111.49410200000001</v>
      </c>
      <c r="F55" s="975"/>
      <c r="G55" s="975"/>
      <c r="H55" s="975"/>
      <c r="I55" s="975"/>
      <c r="J55" s="975"/>
      <c r="K55" s="975"/>
      <c r="L55" s="975"/>
      <c r="M55" s="975"/>
      <c r="N55" s="975"/>
      <c r="O55" s="975"/>
      <c r="P55" s="975"/>
      <c r="Q55" s="976"/>
      <c r="R55" s="708">
        <f ca="1">SUM(C55:Q55)</f>
        <v>277.51270763775244</v>
      </c>
    </row>
    <row r="56" spans="1:18" ht="15.75" thickBot="1">
      <c r="A56" s="805" t="s">
        <v>896</v>
      </c>
      <c r="B56" s="818"/>
      <c r="C56" s="709">
        <f ca="1">SUM(C54:C55)</f>
        <v>174.84676791777292</v>
      </c>
      <c r="D56" s="709">
        <f t="shared" ref="D56:Q56" ca="1" si="7">SUM(D54:D55)</f>
        <v>0</v>
      </c>
      <c r="E56" s="709">
        <f t="shared" si="7"/>
        <v>119.92796075200002</v>
      </c>
      <c r="F56" s="709">
        <f t="shared" si="7"/>
        <v>9.5891217022339229E-2</v>
      </c>
      <c r="G56" s="709">
        <f t="shared" si="7"/>
        <v>46.104836528922341</v>
      </c>
      <c r="H56" s="709">
        <f t="shared" si="7"/>
        <v>0</v>
      </c>
      <c r="I56" s="709">
        <f t="shared" si="7"/>
        <v>0</v>
      </c>
      <c r="J56" s="709">
        <f t="shared" si="7"/>
        <v>0</v>
      </c>
      <c r="K56" s="709">
        <f t="shared" si="7"/>
        <v>1.2753009143043539</v>
      </c>
      <c r="L56" s="709">
        <f t="shared" si="7"/>
        <v>0</v>
      </c>
      <c r="M56" s="709">
        <f t="shared" si="7"/>
        <v>0</v>
      </c>
      <c r="N56" s="709">
        <f t="shared" si="7"/>
        <v>0</v>
      </c>
      <c r="O56" s="709">
        <f t="shared" si="7"/>
        <v>0</v>
      </c>
      <c r="P56" s="709">
        <f t="shared" si="7"/>
        <v>0</v>
      </c>
      <c r="Q56" s="710">
        <f t="shared" si="7"/>
        <v>0</v>
      </c>
      <c r="R56" s="711">
        <f ca="1">SUM(R54:R55)</f>
        <v>342.25075733002194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11778.248912854149</v>
      </c>
      <c r="D61" s="717">
        <f t="shared" ref="D61:Q61" ca="1" si="8">D46+D52+D56</f>
        <v>0</v>
      </c>
      <c r="E61" s="717">
        <f t="shared" ca="1" si="8"/>
        <v>25466.543345294736</v>
      </c>
      <c r="F61" s="717">
        <f t="shared" si="8"/>
        <v>176.4816337441454</v>
      </c>
      <c r="G61" s="717">
        <f t="shared" ca="1" si="8"/>
        <v>3896.4664203216407</v>
      </c>
      <c r="H61" s="717">
        <f t="shared" si="8"/>
        <v>6177.6608434362342</v>
      </c>
      <c r="I61" s="717">
        <f t="shared" si="8"/>
        <v>949.43879362593407</v>
      </c>
      <c r="J61" s="717">
        <f t="shared" si="8"/>
        <v>0</v>
      </c>
      <c r="K61" s="717">
        <f t="shared" si="8"/>
        <v>128.97729039642962</v>
      </c>
      <c r="L61" s="717">
        <f t="shared" si="8"/>
        <v>0</v>
      </c>
      <c r="M61" s="717">
        <f t="shared" ca="1" si="8"/>
        <v>0</v>
      </c>
      <c r="N61" s="717">
        <f t="shared" si="8"/>
        <v>0</v>
      </c>
      <c r="O61" s="717">
        <f t="shared" ca="1" si="8"/>
        <v>0</v>
      </c>
      <c r="P61" s="717">
        <f t="shared" si="8"/>
        <v>0</v>
      </c>
      <c r="Q61" s="717">
        <f t="shared" si="8"/>
        <v>0</v>
      </c>
      <c r="R61" s="717">
        <f ca="1">R46+R52+R56</f>
        <v>48573.81723967327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0.21885473449403747</v>
      </c>
      <c r="D63" s="761">
        <f t="shared" ca="1" si="9"/>
        <v>0</v>
      </c>
      <c r="E63" s="977">
        <f t="shared" ca="1" si="9"/>
        <v>0.20200000000000001</v>
      </c>
      <c r="F63" s="761">
        <f t="shared" si="9"/>
        <v>0.22699999999999995</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522.41249768338037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522.41249768338037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17382.429073663876</v>
      </c>
      <c r="C4" s="449">
        <f>huishoudens!C8</f>
        <v>0</v>
      </c>
      <c r="D4" s="449">
        <f>huishoudens!D8</f>
        <v>60611.786906000001</v>
      </c>
      <c r="E4" s="449">
        <f>huishoudens!E8</f>
        <v>226.23362251070321</v>
      </c>
      <c r="F4" s="449">
        <f>huishoudens!F8</f>
        <v>7722.3479781862898</v>
      </c>
      <c r="G4" s="449">
        <f>huishoudens!G8</f>
        <v>0</v>
      </c>
      <c r="H4" s="449">
        <f>huishoudens!H8</f>
        <v>0</v>
      </c>
      <c r="I4" s="449">
        <f>huishoudens!I8</f>
        <v>0</v>
      </c>
      <c r="J4" s="449">
        <f>huishoudens!J8</f>
        <v>173.88769809890363</v>
      </c>
      <c r="K4" s="449">
        <f>huishoudens!K8</f>
        <v>0</v>
      </c>
      <c r="L4" s="449">
        <f>huishoudens!L8</f>
        <v>0</v>
      </c>
      <c r="M4" s="449">
        <f>huishoudens!M8</f>
        <v>0</v>
      </c>
      <c r="N4" s="449">
        <f>huishoudens!N8</f>
        <v>4721.5541210227111</v>
      </c>
      <c r="O4" s="449">
        <f>huishoudens!O8</f>
        <v>20.323333333333334</v>
      </c>
      <c r="P4" s="450">
        <f>huishoudens!P8</f>
        <v>0</v>
      </c>
      <c r="Q4" s="451">
        <f>SUM(B4:P4)</f>
        <v>90858.562732815801</v>
      </c>
    </row>
    <row r="5" spans="1:17">
      <c r="A5" s="448" t="s">
        <v>155</v>
      </c>
      <c r="B5" s="449">
        <f ca="1">tertiair!B16</f>
        <v>8040.2920000000004</v>
      </c>
      <c r="C5" s="449">
        <f ca="1">tertiair!C16</f>
        <v>0</v>
      </c>
      <c r="D5" s="449">
        <f ca="1">tertiair!D16</f>
        <v>9703.9306759999999</v>
      </c>
      <c r="E5" s="449">
        <f>tertiair!E16</f>
        <v>156.89045176062962</v>
      </c>
      <c r="F5" s="449">
        <f ca="1">tertiair!F16</f>
        <v>1312.5292395031342</v>
      </c>
      <c r="G5" s="449">
        <f>tertiair!G16</f>
        <v>0</v>
      </c>
      <c r="H5" s="449">
        <f>tertiair!H16</f>
        <v>0</v>
      </c>
      <c r="I5" s="449">
        <f>tertiair!I16</f>
        <v>0</v>
      </c>
      <c r="J5" s="449">
        <f>tertiair!J16</f>
        <v>0</v>
      </c>
      <c r="K5" s="449">
        <f>tertiair!K16</f>
        <v>0</v>
      </c>
      <c r="L5" s="449">
        <f ca="1">tertiair!L16</f>
        <v>0</v>
      </c>
      <c r="M5" s="449">
        <f>tertiair!M16</f>
        <v>0</v>
      </c>
      <c r="N5" s="449">
        <f ca="1">tertiair!N16</f>
        <v>90.390422813695906</v>
      </c>
      <c r="O5" s="449">
        <f>tertiair!O16</f>
        <v>0</v>
      </c>
      <c r="P5" s="450">
        <f>tertiair!P16</f>
        <v>0</v>
      </c>
      <c r="Q5" s="448">
        <f t="shared" ref="Q5:Q14" ca="1" si="0">SUM(B5:P5)</f>
        <v>19304.032790077461</v>
      </c>
    </row>
    <row r="6" spans="1:17">
      <c r="A6" s="448" t="s">
        <v>193</v>
      </c>
      <c r="B6" s="449">
        <f>'openbare verlichting'!B8</f>
        <v>445.76299999999998</v>
      </c>
      <c r="C6" s="449"/>
      <c r="D6" s="449"/>
      <c r="E6" s="449"/>
      <c r="F6" s="449"/>
      <c r="G6" s="449"/>
      <c r="H6" s="449"/>
      <c r="I6" s="449"/>
      <c r="J6" s="449"/>
      <c r="K6" s="449"/>
      <c r="L6" s="449"/>
      <c r="M6" s="449"/>
      <c r="N6" s="449"/>
      <c r="O6" s="449"/>
      <c r="P6" s="450"/>
      <c r="Q6" s="448">
        <f t="shared" si="0"/>
        <v>445.76299999999998</v>
      </c>
    </row>
    <row r="7" spans="1:17">
      <c r="A7" s="448" t="s">
        <v>111</v>
      </c>
      <c r="B7" s="449">
        <f>landbouw!B8</f>
        <v>40.338000000000001</v>
      </c>
      <c r="C7" s="449">
        <f>landbouw!C8</f>
        <v>0</v>
      </c>
      <c r="D7" s="449">
        <f>landbouw!D8</f>
        <v>41.751776</v>
      </c>
      <c r="E7" s="449">
        <f>landbouw!E8</f>
        <v>0.42242826882087764</v>
      </c>
      <c r="F7" s="449">
        <f>landbouw!F8</f>
        <v>172.67729037049565</v>
      </c>
      <c r="G7" s="449">
        <f>landbouw!G8</f>
        <v>0</v>
      </c>
      <c r="H7" s="449">
        <f>landbouw!H8</f>
        <v>0</v>
      </c>
      <c r="I7" s="449">
        <f>landbouw!I8</f>
        <v>0</v>
      </c>
      <c r="J7" s="449">
        <f>landbouw!J8</f>
        <v>3.602544955662017</v>
      </c>
      <c r="K7" s="449">
        <f>landbouw!K8</f>
        <v>0</v>
      </c>
      <c r="L7" s="449">
        <f>landbouw!L8</f>
        <v>0</v>
      </c>
      <c r="M7" s="449">
        <f>landbouw!M8</f>
        <v>0</v>
      </c>
      <c r="N7" s="449">
        <f>landbouw!N8</f>
        <v>0</v>
      </c>
      <c r="O7" s="449">
        <f>landbouw!O8</f>
        <v>0</v>
      </c>
      <c r="P7" s="450">
        <f>landbouw!P8</f>
        <v>0</v>
      </c>
      <c r="Q7" s="448">
        <f t="shared" si="0"/>
        <v>258.79203959497858</v>
      </c>
    </row>
    <row r="8" spans="1:17">
      <c r="A8" s="448" t="s">
        <v>643</v>
      </c>
      <c r="B8" s="449">
        <f>industrie!B18</f>
        <v>27144.345000000001</v>
      </c>
      <c r="C8" s="449">
        <f>industrie!C18</f>
        <v>0</v>
      </c>
      <c r="D8" s="449">
        <f>industrie!D18</f>
        <v>55161.426650000009</v>
      </c>
      <c r="E8" s="449">
        <f>industrie!E18</f>
        <v>274.60132287185837</v>
      </c>
      <c r="F8" s="449">
        <f>industrie!F18</f>
        <v>5385.95268415596</v>
      </c>
      <c r="G8" s="449">
        <f>industrie!G18</f>
        <v>0</v>
      </c>
      <c r="H8" s="449">
        <f>industrie!H18</f>
        <v>0</v>
      </c>
      <c r="I8" s="449">
        <f>industrie!I18</f>
        <v>0</v>
      </c>
      <c r="J8" s="449">
        <f>industrie!J18</f>
        <v>186.85238518393612</v>
      </c>
      <c r="K8" s="449">
        <f>industrie!K18</f>
        <v>0</v>
      </c>
      <c r="L8" s="449">
        <f>industrie!L18</f>
        <v>0</v>
      </c>
      <c r="M8" s="449">
        <f>industrie!M18</f>
        <v>0</v>
      </c>
      <c r="N8" s="449">
        <f>industrie!N18</f>
        <v>465.15465785834243</v>
      </c>
      <c r="O8" s="449">
        <f>industrie!O18</f>
        <v>0</v>
      </c>
      <c r="P8" s="450">
        <f>industrie!P18</f>
        <v>0</v>
      </c>
      <c r="Q8" s="448">
        <f t="shared" si="0"/>
        <v>88618.332700070096</v>
      </c>
    </row>
    <row r="9" spans="1:17" s="454" customFormat="1">
      <c r="A9" s="452" t="s">
        <v>562</v>
      </c>
      <c r="B9" s="453">
        <f>transport!B14</f>
        <v>0.36514669859752713</v>
      </c>
      <c r="C9" s="453">
        <f>transport!C14</f>
        <v>0</v>
      </c>
      <c r="D9" s="453">
        <f>transport!D14</f>
        <v>1.1497508848171005</v>
      </c>
      <c r="E9" s="453">
        <f>transport!E14</f>
        <v>119.30430561946555</v>
      </c>
      <c r="F9" s="453">
        <f>transport!F14</f>
        <v>0</v>
      </c>
      <c r="G9" s="453">
        <f>transport!G14</f>
        <v>21934.325229841405</v>
      </c>
      <c r="H9" s="453">
        <f>transport!H14</f>
        <v>3813.0072033170045</v>
      </c>
      <c r="I9" s="453">
        <f>transport!I14</f>
        <v>0</v>
      </c>
      <c r="J9" s="453">
        <f>transport!J14</f>
        <v>0</v>
      </c>
      <c r="K9" s="453">
        <f>transport!K14</f>
        <v>0</v>
      </c>
      <c r="L9" s="453">
        <f>transport!L14</f>
        <v>0</v>
      </c>
      <c r="M9" s="453">
        <f>transport!M14</f>
        <v>1120.4065744111106</v>
      </c>
      <c r="N9" s="453">
        <f>transport!N14</f>
        <v>0</v>
      </c>
      <c r="O9" s="453">
        <f>transport!O14</f>
        <v>0</v>
      </c>
      <c r="P9" s="453">
        <f>transport!P14</f>
        <v>0</v>
      </c>
      <c r="Q9" s="452">
        <f>SUM(B9:P9)</f>
        <v>26988.5582107724</v>
      </c>
    </row>
    <row r="10" spans="1:17">
      <c r="A10" s="448" t="s">
        <v>552</v>
      </c>
      <c r="B10" s="449">
        <f>transport!B54</f>
        <v>5.5452268871851036</v>
      </c>
      <c r="C10" s="449">
        <f>transport!C54</f>
        <v>0</v>
      </c>
      <c r="D10" s="449">
        <f>transport!D54</f>
        <v>0</v>
      </c>
      <c r="E10" s="449">
        <f>transport!E54</f>
        <v>0</v>
      </c>
      <c r="F10" s="449">
        <f>transport!F54</f>
        <v>0</v>
      </c>
      <c r="G10" s="449">
        <f>transport!G54</f>
        <v>1202.9812998823186</v>
      </c>
      <c r="H10" s="449">
        <f>transport!H54</f>
        <v>0</v>
      </c>
      <c r="I10" s="449">
        <f>transport!I54</f>
        <v>0</v>
      </c>
      <c r="J10" s="449">
        <f>transport!J54</f>
        <v>0</v>
      </c>
      <c r="K10" s="449">
        <f>transport!K54</f>
        <v>0</v>
      </c>
      <c r="L10" s="449">
        <f>transport!L54</f>
        <v>0</v>
      </c>
      <c r="M10" s="449">
        <f>transport!M54</f>
        <v>51.507038310212337</v>
      </c>
      <c r="N10" s="449">
        <f>transport!N54</f>
        <v>0</v>
      </c>
      <c r="O10" s="449">
        <f>transport!O54</f>
        <v>0</v>
      </c>
      <c r="P10" s="450">
        <f>transport!P54</f>
        <v>0</v>
      </c>
      <c r="Q10" s="448">
        <f t="shared" si="0"/>
        <v>1260.033565079716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758.57899999999995</v>
      </c>
      <c r="C14" s="456"/>
      <c r="D14" s="456">
        <f>'SEAP template'!E25</f>
        <v>551.95100000000002</v>
      </c>
      <c r="E14" s="456"/>
      <c r="F14" s="456"/>
      <c r="G14" s="456"/>
      <c r="H14" s="456"/>
      <c r="I14" s="456"/>
      <c r="J14" s="456"/>
      <c r="K14" s="456"/>
      <c r="L14" s="456"/>
      <c r="M14" s="456"/>
      <c r="N14" s="456"/>
      <c r="O14" s="456"/>
      <c r="P14" s="457"/>
      <c r="Q14" s="448">
        <f t="shared" si="0"/>
        <v>1310.53</v>
      </c>
    </row>
    <row r="15" spans="1:17" s="461" customFormat="1">
      <c r="A15" s="458" t="s">
        <v>556</v>
      </c>
      <c r="B15" s="459">
        <f ca="1">SUM(B4:B14)</f>
        <v>53817.656447249661</v>
      </c>
      <c r="C15" s="459">
        <f t="shared" ref="C15:Q15" ca="1" si="1">SUM(C4:C14)</f>
        <v>0</v>
      </c>
      <c r="D15" s="459">
        <f t="shared" ca="1" si="1"/>
        <v>126071.99675888482</v>
      </c>
      <c r="E15" s="459">
        <f t="shared" si="1"/>
        <v>777.45213103147762</v>
      </c>
      <c r="F15" s="459">
        <f t="shared" ca="1" si="1"/>
        <v>14593.507192215879</v>
      </c>
      <c r="G15" s="459">
        <f t="shared" si="1"/>
        <v>23137.306529723723</v>
      </c>
      <c r="H15" s="459">
        <f t="shared" si="1"/>
        <v>3813.0072033170045</v>
      </c>
      <c r="I15" s="459">
        <f t="shared" si="1"/>
        <v>0</v>
      </c>
      <c r="J15" s="459">
        <f t="shared" si="1"/>
        <v>364.34262823850179</v>
      </c>
      <c r="K15" s="459">
        <f t="shared" si="1"/>
        <v>0</v>
      </c>
      <c r="L15" s="459">
        <f t="shared" ca="1" si="1"/>
        <v>0</v>
      </c>
      <c r="M15" s="459">
        <f t="shared" si="1"/>
        <v>1171.9136127213228</v>
      </c>
      <c r="N15" s="459">
        <f t="shared" ca="1" si="1"/>
        <v>5277.0992016947494</v>
      </c>
      <c r="O15" s="459">
        <f t="shared" si="1"/>
        <v>20.323333333333334</v>
      </c>
      <c r="P15" s="459">
        <f t="shared" si="1"/>
        <v>0</v>
      </c>
      <c r="Q15" s="459">
        <f t="shared" ca="1" si="1"/>
        <v>229044.60503841046</v>
      </c>
    </row>
    <row r="17" spans="1:17">
      <c r="A17" s="462" t="s">
        <v>557</v>
      </c>
      <c r="B17" s="766">
        <f ca="1">huishoudens!B10</f>
        <v>0.21885473449403747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3804.2268997781453</v>
      </c>
      <c r="C22" s="449">
        <f t="shared" ref="C22:C32" ca="1" si="3">C4*$C$17</f>
        <v>0</v>
      </c>
      <c r="D22" s="449">
        <f t="shared" ref="D22:D32" si="4">D4*$D$17</f>
        <v>12243.580955012001</v>
      </c>
      <c r="E22" s="449">
        <f t="shared" ref="E22:E32" si="5">E4*$E$17</f>
        <v>51.355032309929634</v>
      </c>
      <c r="F22" s="449">
        <f t="shared" ref="F22:F32" si="6">F4*$F$17</f>
        <v>2061.8669101757396</v>
      </c>
      <c r="G22" s="449">
        <f t="shared" ref="G22:G32" si="7">G4*$G$17</f>
        <v>0</v>
      </c>
      <c r="H22" s="449">
        <f t="shared" ref="H22:H32" si="8">H4*$H$17</f>
        <v>0</v>
      </c>
      <c r="I22" s="449">
        <f t="shared" ref="I22:I32" si="9">I4*$I$17</f>
        <v>0</v>
      </c>
      <c r="J22" s="449">
        <f t="shared" ref="J22:J32" si="10">J4*$J$17</f>
        <v>61.556245127011884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18222.586042402829</v>
      </c>
    </row>
    <row r="23" spans="1:17">
      <c r="A23" s="448" t="s">
        <v>155</v>
      </c>
      <c r="B23" s="449">
        <f t="shared" ca="1" si="2"/>
        <v>1759.6559709145336</v>
      </c>
      <c r="C23" s="449">
        <f t="shared" ca="1" si="3"/>
        <v>0</v>
      </c>
      <c r="D23" s="449">
        <f t="shared" ca="1" si="4"/>
        <v>1960.193996552</v>
      </c>
      <c r="E23" s="449">
        <f t="shared" si="5"/>
        <v>35.614132549662926</v>
      </c>
      <c r="F23" s="449">
        <f t="shared" ca="1" si="6"/>
        <v>350.44530694733686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4105.909406963533</v>
      </c>
    </row>
    <row r="24" spans="1:17">
      <c r="A24" s="448" t="s">
        <v>193</v>
      </c>
      <c r="B24" s="449">
        <f t="shared" ca="1" si="2"/>
        <v>97.557343012265619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97.557343012265619</v>
      </c>
    </row>
    <row r="25" spans="1:17">
      <c r="A25" s="448" t="s">
        <v>111</v>
      </c>
      <c r="B25" s="449">
        <f t="shared" ca="1" si="2"/>
        <v>8.828162280020484</v>
      </c>
      <c r="C25" s="449">
        <f t="shared" ca="1" si="3"/>
        <v>0</v>
      </c>
      <c r="D25" s="449">
        <f t="shared" si="4"/>
        <v>8.4338587520000008</v>
      </c>
      <c r="E25" s="449">
        <f t="shared" si="5"/>
        <v>9.5891217022339229E-2</v>
      </c>
      <c r="F25" s="449">
        <f t="shared" si="6"/>
        <v>46.104836528922341</v>
      </c>
      <c r="G25" s="449">
        <f t="shared" si="7"/>
        <v>0</v>
      </c>
      <c r="H25" s="449">
        <f t="shared" si="8"/>
        <v>0</v>
      </c>
      <c r="I25" s="449">
        <f t="shared" si="9"/>
        <v>0</v>
      </c>
      <c r="J25" s="449">
        <f t="shared" si="10"/>
        <v>1.2753009143043539</v>
      </c>
      <c r="K25" s="449">
        <f t="shared" si="11"/>
        <v>0</v>
      </c>
      <c r="L25" s="449">
        <f t="shared" si="12"/>
        <v>0</v>
      </c>
      <c r="M25" s="449">
        <f t="shared" si="13"/>
        <v>0</v>
      </c>
      <c r="N25" s="449">
        <f t="shared" si="14"/>
        <v>0</v>
      </c>
      <c r="O25" s="449">
        <f t="shared" si="15"/>
        <v>0</v>
      </c>
      <c r="P25" s="450">
        <f t="shared" si="16"/>
        <v>0</v>
      </c>
      <c r="Q25" s="448">
        <f t="shared" ca="1" si="17"/>
        <v>64.738049692269513</v>
      </c>
    </row>
    <row r="26" spans="1:17">
      <c r="A26" s="448" t="s">
        <v>643</v>
      </c>
      <c r="B26" s="449">
        <f t="shared" ca="1" si="2"/>
        <v>5940.6684179895537</v>
      </c>
      <c r="C26" s="449">
        <f t="shared" ca="1" si="3"/>
        <v>0</v>
      </c>
      <c r="D26" s="449">
        <f t="shared" si="4"/>
        <v>11142.608183300003</v>
      </c>
      <c r="E26" s="449">
        <f t="shared" si="5"/>
        <v>62.334500291911851</v>
      </c>
      <c r="F26" s="449">
        <f t="shared" si="6"/>
        <v>1438.0493666696414</v>
      </c>
      <c r="G26" s="449">
        <f t="shared" si="7"/>
        <v>0</v>
      </c>
      <c r="H26" s="449">
        <f t="shared" si="8"/>
        <v>0</v>
      </c>
      <c r="I26" s="449">
        <f t="shared" si="9"/>
        <v>0</v>
      </c>
      <c r="J26" s="449">
        <f t="shared" si="10"/>
        <v>66.145744355113379</v>
      </c>
      <c r="K26" s="449">
        <f t="shared" si="11"/>
        <v>0</v>
      </c>
      <c r="L26" s="449">
        <f t="shared" si="12"/>
        <v>0</v>
      </c>
      <c r="M26" s="449">
        <f t="shared" si="13"/>
        <v>0</v>
      </c>
      <c r="N26" s="449">
        <f t="shared" si="14"/>
        <v>0</v>
      </c>
      <c r="O26" s="449">
        <f t="shared" si="15"/>
        <v>0</v>
      </c>
      <c r="P26" s="450">
        <f t="shared" si="16"/>
        <v>0</v>
      </c>
      <c r="Q26" s="448">
        <f t="shared" ca="1" si="17"/>
        <v>18649.806212606221</v>
      </c>
    </row>
    <row r="27" spans="1:17" s="454" customFormat="1">
      <c r="A27" s="452" t="s">
        <v>562</v>
      </c>
      <c r="B27" s="760">
        <f t="shared" ca="1" si="2"/>
        <v>7.9914083772936129E-2</v>
      </c>
      <c r="C27" s="453">
        <f t="shared" ca="1" si="3"/>
        <v>0</v>
      </c>
      <c r="D27" s="453">
        <f t="shared" si="4"/>
        <v>0.23224967873305433</v>
      </c>
      <c r="E27" s="453">
        <f t="shared" si="5"/>
        <v>27.082077375618681</v>
      </c>
      <c r="F27" s="453">
        <f t="shared" si="6"/>
        <v>0</v>
      </c>
      <c r="G27" s="453">
        <f t="shared" si="7"/>
        <v>5856.4648363676552</v>
      </c>
      <c r="H27" s="453">
        <f t="shared" si="8"/>
        <v>949.43879362593407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6833.2978711317137</v>
      </c>
    </row>
    <row r="28" spans="1:17">
      <c r="A28" s="448" t="s">
        <v>552</v>
      </c>
      <c r="B28" s="449">
        <f t="shared" ca="1" si="2"/>
        <v>1.2135991581040937</v>
      </c>
      <c r="C28" s="449">
        <f t="shared" ca="1" si="3"/>
        <v>0</v>
      </c>
      <c r="D28" s="449">
        <f t="shared" si="4"/>
        <v>0</v>
      </c>
      <c r="E28" s="449">
        <f t="shared" si="5"/>
        <v>0</v>
      </c>
      <c r="F28" s="449">
        <f t="shared" si="6"/>
        <v>0</v>
      </c>
      <c r="G28" s="449">
        <f t="shared" si="7"/>
        <v>321.19600706857909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322.4096062266832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166.01860563775244</v>
      </c>
      <c r="C32" s="449">
        <f t="shared" ca="1" si="3"/>
        <v>0</v>
      </c>
      <c r="D32" s="449">
        <f t="shared" si="4"/>
        <v>111.49410200000001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277.51270763775244</v>
      </c>
    </row>
    <row r="33" spans="1:17" s="461" customFormat="1">
      <c r="A33" s="458" t="s">
        <v>556</v>
      </c>
      <c r="B33" s="459">
        <f ca="1">SUM(B22:B32)</f>
        <v>11778.248912854149</v>
      </c>
      <c r="C33" s="459">
        <f t="shared" ref="C33:Q33" ca="1" si="19">SUM(C22:C32)</f>
        <v>0</v>
      </c>
      <c r="D33" s="459">
        <f t="shared" ca="1" si="19"/>
        <v>25466.54334529474</v>
      </c>
      <c r="E33" s="459">
        <f t="shared" si="19"/>
        <v>176.48163374414543</v>
      </c>
      <c r="F33" s="459">
        <f t="shared" ca="1" si="19"/>
        <v>3896.4664203216407</v>
      </c>
      <c r="G33" s="459">
        <f t="shared" si="19"/>
        <v>6177.6608434362342</v>
      </c>
      <c r="H33" s="459">
        <f t="shared" si="19"/>
        <v>949.43879362593407</v>
      </c>
      <c r="I33" s="459">
        <f t="shared" si="19"/>
        <v>0</v>
      </c>
      <c r="J33" s="459">
        <f t="shared" si="19"/>
        <v>128.97729039642962</v>
      </c>
      <c r="K33" s="459">
        <f t="shared" si="19"/>
        <v>0</v>
      </c>
      <c r="L33" s="459">
        <f t="shared" ca="1" si="19"/>
        <v>0</v>
      </c>
      <c r="M33" s="459">
        <f t="shared" si="19"/>
        <v>0</v>
      </c>
      <c r="N33" s="459">
        <f t="shared" ca="1" si="19"/>
        <v>0</v>
      </c>
      <c r="O33" s="459">
        <f t="shared" si="19"/>
        <v>0</v>
      </c>
      <c r="P33" s="459">
        <f t="shared" si="19"/>
        <v>0</v>
      </c>
      <c r="Q33" s="459">
        <f t="shared" ca="1" si="19"/>
        <v>48573.817239673263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522.41249768338037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522.41249768338037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0.21885473449403747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0.21885473449403747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0.21885473449403747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0.21885473449403747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4301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0</v>
      </c>
      <c r="C17" s="326"/>
      <c r="D17" s="326"/>
      <c r="E17" s="326"/>
      <c r="F17" s="326"/>
    </row>
    <row r="18" spans="1:6">
      <c r="A18" s="1282" t="s">
        <v>8</v>
      </c>
      <c r="B18" s="1283">
        <v>0</v>
      </c>
      <c r="C18" s="326"/>
      <c r="D18" s="326"/>
      <c r="E18" s="326"/>
      <c r="F18" s="326"/>
    </row>
    <row r="19" spans="1:6">
      <c r="A19" s="1282" t="s">
        <v>9</v>
      </c>
      <c r="B19" s="1283">
        <v>0</v>
      </c>
      <c r="C19" s="326"/>
      <c r="D19" s="326"/>
      <c r="E19" s="326"/>
      <c r="F19" s="326"/>
    </row>
    <row r="20" spans="1:6">
      <c r="A20" s="1282" t="s">
        <v>10</v>
      </c>
      <c r="B20" s="1283">
        <v>0</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0</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1604275</v>
      </c>
    </row>
    <row r="39" spans="1:6">
      <c r="A39" s="1282" t="s">
        <v>29</v>
      </c>
      <c r="B39" s="1282" t="s">
        <v>30</v>
      </c>
      <c r="C39" s="1283">
        <v>4034</v>
      </c>
      <c r="D39" s="1283">
        <v>67197103</v>
      </c>
      <c r="E39" s="1283">
        <v>4650</v>
      </c>
      <c r="F39" s="1283">
        <v>16892965</v>
      </c>
    </row>
    <row r="40" spans="1:6">
      <c r="A40" s="1282" t="s">
        <v>29</v>
      </c>
      <c r="B40" s="1282" t="s">
        <v>28</v>
      </c>
      <c r="C40" s="1283">
        <v>0</v>
      </c>
      <c r="D40" s="1283">
        <v>0</v>
      </c>
      <c r="E40" s="1283">
        <v>0</v>
      </c>
      <c r="F40" s="1283">
        <v>0</v>
      </c>
    </row>
    <row r="41" spans="1:6">
      <c r="A41" s="1282" t="s">
        <v>31</v>
      </c>
      <c r="B41" s="1282" t="s">
        <v>32</v>
      </c>
      <c r="C41" s="1283">
        <v>13</v>
      </c>
      <c r="D41" s="1283">
        <v>303964</v>
      </c>
      <c r="E41" s="1283">
        <v>37</v>
      </c>
      <c r="F41" s="1283">
        <v>323475</v>
      </c>
    </row>
    <row r="42" spans="1:6">
      <c r="A42" s="1282" t="s">
        <v>31</v>
      </c>
      <c r="B42" s="1282" t="s">
        <v>33</v>
      </c>
      <c r="C42" s="1283">
        <v>3</v>
      </c>
      <c r="D42" s="1283">
        <v>402375</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610855</v>
      </c>
    </row>
    <row r="45" spans="1:6">
      <c r="A45" s="1282" t="s">
        <v>31</v>
      </c>
      <c r="B45" s="1282" t="s">
        <v>36</v>
      </c>
      <c r="C45" s="1283">
        <v>4</v>
      </c>
      <c r="D45" s="1283">
        <v>1742393</v>
      </c>
      <c r="E45" s="1283">
        <v>4</v>
      </c>
      <c r="F45" s="1283">
        <v>1795013</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4</v>
      </c>
      <c r="D48" s="1283">
        <v>58705843</v>
      </c>
      <c r="E48" s="1283">
        <v>5</v>
      </c>
      <c r="F48" s="1283">
        <v>24272890</v>
      </c>
    </row>
    <row r="49" spans="1:6">
      <c r="A49" s="1282" t="s">
        <v>31</v>
      </c>
      <c r="B49" s="1282" t="s">
        <v>39</v>
      </c>
      <c r="C49" s="1283">
        <v>0</v>
      </c>
      <c r="D49" s="1283">
        <v>0</v>
      </c>
      <c r="E49" s="1283">
        <v>0</v>
      </c>
      <c r="F49" s="1283">
        <v>0</v>
      </c>
    </row>
    <row r="50" spans="1:6">
      <c r="A50" s="1282" t="s">
        <v>31</v>
      </c>
      <c r="B50" s="1282" t="s">
        <v>40</v>
      </c>
      <c r="C50" s="1283">
        <v>0</v>
      </c>
      <c r="D50" s="1283">
        <v>0</v>
      </c>
      <c r="E50" s="1283">
        <v>4</v>
      </c>
      <c r="F50" s="1283">
        <v>142112</v>
      </c>
    </row>
    <row r="51" spans="1:6">
      <c r="A51" s="1282" t="s">
        <v>41</v>
      </c>
      <c r="B51" s="1282" t="s">
        <v>42</v>
      </c>
      <c r="C51" s="1283">
        <v>3</v>
      </c>
      <c r="D51" s="1283">
        <v>46288</v>
      </c>
      <c r="E51" s="1283">
        <v>4</v>
      </c>
      <c r="F51" s="1283">
        <v>40338</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10</v>
      </c>
      <c r="F54" s="1283">
        <v>445763</v>
      </c>
    </row>
    <row r="55" spans="1:6">
      <c r="A55" s="1282" t="s">
        <v>45</v>
      </c>
      <c r="B55" s="1282" t="s">
        <v>28</v>
      </c>
      <c r="C55" s="1283">
        <v>0</v>
      </c>
      <c r="D55" s="1283">
        <v>0</v>
      </c>
      <c r="E55" s="1283">
        <v>0</v>
      </c>
      <c r="F55" s="1283">
        <v>0</v>
      </c>
    </row>
    <row r="56" spans="1:6">
      <c r="A56" s="1282" t="s">
        <v>47</v>
      </c>
      <c r="B56" s="1282" t="s">
        <v>28</v>
      </c>
      <c r="C56" s="1283">
        <v>24</v>
      </c>
      <c r="D56" s="1283">
        <v>551951</v>
      </c>
      <c r="E56" s="1283">
        <v>81</v>
      </c>
      <c r="F56" s="1283">
        <v>758579</v>
      </c>
    </row>
    <row r="57" spans="1:6">
      <c r="A57" s="1282" t="s">
        <v>48</v>
      </c>
      <c r="B57" s="1282" t="s">
        <v>49</v>
      </c>
      <c r="C57" s="1283">
        <v>12</v>
      </c>
      <c r="D57" s="1283">
        <v>472502</v>
      </c>
      <c r="E57" s="1283">
        <v>30</v>
      </c>
      <c r="F57" s="1283">
        <v>313707</v>
      </c>
    </row>
    <row r="58" spans="1:6">
      <c r="A58" s="1282" t="s">
        <v>48</v>
      </c>
      <c r="B58" s="1282" t="s">
        <v>50</v>
      </c>
      <c r="C58" s="1283">
        <v>6</v>
      </c>
      <c r="D58" s="1283">
        <v>165576</v>
      </c>
      <c r="E58" s="1283">
        <v>8</v>
      </c>
      <c r="F58" s="1283">
        <v>61626</v>
      </c>
    </row>
    <row r="59" spans="1:6">
      <c r="A59" s="1282" t="s">
        <v>48</v>
      </c>
      <c r="B59" s="1282" t="s">
        <v>51</v>
      </c>
      <c r="C59" s="1283">
        <v>29</v>
      </c>
      <c r="D59" s="1283">
        <v>1332844</v>
      </c>
      <c r="E59" s="1283">
        <v>53</v>
      </c>
      <c r="F59" s="1283">
        <v>4552324</v>
      </c>
    </row>
    <row r="60" spans="1:6">
      <c r="A60" s="1282" t="s">
        <v>48</v>
      </c>
      <c r="B60" s="1282" t="s">
        <v>52</v>
      </c>
      <c r="C60" s="1283">
        <v>37</v>
      </c>
      <c r="D60" s="1283">
        <v>4813016</v>
      </c>
      <c r="E60" s="1283">
        <v>54</v>
      </c>
      <c r="F60" s="1283">
        <v>1100197</v>
      </c>
    </row>
    <row r="61" spans="1:6">
      <c r="A61" s="1282" t="s">
        <v>48</v>
      </c>
      <c r="B61" s="1282" t="s">
        <v>53</v>
      </c>
      <c r="C61" s="1283">
        <v>65</v>
      </c>
      <c r="D61" s="1283">
        <v>3758017</v>
      </c>
      <c r="E61" s="1283">
        <v>124</v>
      </c>
      <c r="F61" s="1283">
        <v>1985348</v>
      </c>
    </row>
    <row r="62" spans="1:6">
      <c r="A62" s="1282" t="s">
        <v>48</v>
      </c>
      <c r="B62" s="1282" t="s">
        <v>54</v>
      </c>
      <c r="C62" s="1283">
        <v>4</v>
      </c>
      <c r="D62" s="1283">
        <v>216283</v>
      </c>
      <c r="E62" s="1283">
        <v>3</v>
      </c>
      <c r="F62" s="1283">
        <v>27090</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24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31800114</v>
      </c>
      <c r="E73" s="447"/>
      <c r="F73" s="326"/>
    </row>
    <row r="74" spans="1:6">
      <c r="A74" s="1282" t="s">
        <v>63</v>
      </c>
      <c r="B74" s="1282" t="s">
        <v>760</v>
      </c>
      <c r="C74" s="1296" t="s">
        <v>761</v>
      </c>
      <c r="D74" s="1297">
        <v>2203340.2578443936</v>
      </c>
      <c r="E74" s="447"/>
      <c r="F74" s="326"/>
    </row>
    <row r="75" spans="1:6">
      <c r="A75" s="1282" t="s">
        <v>64</v>
      </c>
      <c r="B75" s="1282" t="s">
        <v>758</v>
      </c>
      <c r="C75" s="1296" t="s">
        <v>762</v>
      </c>
      <c r="D75" s="1297">
        <v>1530079</v>
      </c>
      <c r="E75" s="447"/>
      <c r="F75" s="326"/>
    </row>
    <row r="76" spans="1:6">
      <c r="A76" s="1282" t="s">
        <v>64</v>
      </c>
      <c r="B76" s="1282" t="s">
        <v>760</v>
      </c>
      <c r="C76" s="1296" t="s">
        <v>763</v>
      </c>
      <c r="D76" s="1297">
        <v>101517.25784439352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329943.48431121296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489.46407366387712</v>
      </c>
      <c r="C91" s="326"/>
      <c r="D91" s="326"/>
      <c r="E91" s="326"/>
      <c r="F91" s="326"/>
    </row>
    <row r="92" spans="1:6">
      <c r="A92" s="1277" t="s">
        <v>68</v>
      </c>
      <c r="B92" s="1278">
        <v>32.9484240195032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2975</v>
      </c>
      <c r="C97" s="326"/>
      <c r="D97" s="326"/>
      <c r="E97" s="326"/>
      <c r="F97" s="326"/>
    </row>
    <row r="98" spans="1:6">
      <c r="A98" s="1282" t="s">
        <v>71</v>
      </c>
      <c r="B98" s="1283">
        <v>3</v>
      </c>
      <c r="C98" s="326"/>
      <c r="D98" s="326"/>
      <c r="E98" s="326"/>
      <c r="F98" s="326"/>
    </row>
    <row r="99" spans="1:6">
      <c r="A99" s="1282" t="s">
        <v>72</v>
      </c>
      <c r="B99" s="1283">
        <v>8</v>
      </c>
      <c r="C99" s="326"/>
      <c r="D99" s="326"/>
      <c r="E99" s="326"/>
      <c r="F99" s="326"/>
    </row>
    <row r="100" spans="1:6">
      <c r="A100" s="1282" t="s">
        <v>73</v>
      </c>
      <c r="B100" s="1283">
        <v>268</v>
      </c>
      <c r="C100" s="326"/>
      <c r="D100" s="326"/>
      <c r="E100" s="326"/>
      <c r="F100" s="326"/>
    </row>
    <row r="101" spans="1:6">
      <c r="A101" s="1282" t="s">
        <v>74</v>
      </c>
      <c r="B101" s="1283">
        <v>38</v>
      </c>
      <c r="C101" s="326"/>
      <c r="D101" s="326"/>
      <c r="E101" s="326"/>
      <c r="F101" s="326"/>
    </row>
    <row r="102" spans="1:6">
      <c r="A102" s="1282" t="s">
        <v>75</v>
      </c>
      <c r="B102" s="1283">
        <v>57</v>
      </c>
      <c r="C102" s="326"/>
      <c r="D102" s="326"/>
      <c r="E102" s="326"/>
      <c r="F102" s="326"/>
    </row>
    <row r="103" spans="1:6">
      <c r="A103" s="1282" t="s">
        <v>76</v>
      </c>
      <c r="B103" s="1283">
        <v>91</v>
      </c>
      <c r="C103" s="326"/>
      <c r="D103" s="326"/>
      <c r="E103" s="326"/>
      <c r="F103" s="326"/>
    </row>
    <row r="104" spans="1:6">
      <c r="A104" s="1282" t="s">
        <v>77</v>
      </c>
      <c r="B104" s="1283">
        <v>409</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11</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53817.656447249661</v>
      </c>
      <c r="C3" s="43" t="s">
        <v>169</v>
      </c>
      <c r="D3" s="43"/>
      <c r="E3" s="156"/>
      <c r="F3" s="43"/>
      <c r="G3" s="43"/>
      <c r="H3" s="43"/>
      <c r="I3" s="43"/>
      <c r="J3" s="43"/>
      <c r="K3" s="96"/>
    </row>
    <row r="4" spans="1:11">
      <c r="A4" s="354" t="s">
        <v>170</v>
      </c>
      <c r="B4" s="49">
        <f>IF(ISERROR('SEAP template'!B78+'SEAP template'!C78),0,'SEAP template'!B78+'SEAP template'!C78)</f>
        <v>522.41249768338037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0.21885473449403747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445.76299999999998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445.76299999999998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0.21885473449403747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97.557343012265619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16892.965</v>
      </c>
      <c r="C5" s="17">
        <f>IF(ISERROR('Eigen informatie GS &amp; warmtenet'!B57),0,'Eigen informatie GS &amp; warmtenet'!B57)</f>
        <v>0</v>
      </c>
      <c r="D5" s="30">
        <f>(SUM(HH_hh_gas_kWh,HH_rest_gas_kWh)/1000)*0.902</f>
        <v>60611.786906000001</v>
      </c>
      <c r="E5" s="17">
        <f>B32*B41</f>
        <v>226.23362251070321</v>
      </c>
      <c r="F5" s="17">
        <f>B36*B45</f>
        <v>7722.3479781862898</v>
      </c>
      <c r="G5" s="18"/>
      <c r="H5" s="17"/>
      <c r="I5" s="17"/>
      <c r="J5" s="17">
        <f>B35*B44+C35*C44</f>
        <v>173.88769809890363</v>
      </c>
      <c r="K5" s="17"/>
      <c r="L5" s="17"/>
      <c r="M5" s="17"/>
      <c r="N5" s="17">
        <f>B34*B43+C34*C43</f>
        <v>4721.5541210227111</v>
      </c>
      <c r="O5" s="17">
        <f>B52*B53*B54</f>
        <v>20.323333333333334</v>
      </c>
      <c r="P5" s="17">
        <f>B60*B61*B62/1000-B60*B61*B62/1000/B63</f>
        <v>0</v>
      </c>
    </row>
    <row r="6" spans="1:16">
      <c r="A6" s="16" t="s">
        <v>621</v>
      </c>
      <c r="B6" s="768">
        <f>kWh_PV_kleiner_dan_10kW</f>
        <v>489.46407366387712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17382.429073663876</v>
      </c>
      <c r="C8" s="21">
        <f>C5</f>
        <v>0</v>
      </c>
      <c r="D8" s="21">
        <f>D5</f>
        <v>60611.786906000001</v>
      </c>
      <c r="E8" s="21">
        <f>E5</f>
        <v>226.23362251070321</v>
      </c>
      <c r="F8" s="21">
        <f>F5</f>
        <v>7722.3479781862898</v>
      </c>
      <c r="G8" s="21"/>
      <c r="H8" s="21"/>
      <c r="I8" s="21"/>
      <c r="J8" s="21">
        <f>J5</f>
        <v>173.88769809890363</v>
      </c>
      <c r="K8" s="21"/>
      <c r="L8" s="21">
        <f>L5</f>
        <v>0</v>
      </c>
      <c r="M8" s="21">
        <f>M5</f>
        <v>0</v>
      </c>
      <c r="N8" s="21">
        <f>N5</f>
        <v>4721.5541210227111</v>
      </c>
      <c r="O8" s="21">
        <f>O5</f>
        <v>20.323333333333334</v>
      </c>
      <c r="P8" s="21">
        <f>P5</f>
        <v>0</v>
      </c>
    </row>
    <row r="9" spans="1:16">
      <c r="B9" s="19"/>
      <c r="C9" s="19"/>
      <c r="D9" s="256"/>
      <c r="E9" s="19"/>
      <c r="F9" s="19"/>
      <c r="G9" s="19"/>
      <c r="H9" s="19"/>
      <c r="I9" s="19"/>
      <c r="J9" s="19"/>
      <c r="K9" s="19"/>
      <c r="L9" s="19"/>
      <c r="M9" s="19"/>
      <c r="N9" s="19"/>
      <c r="O9" s="19"/>
      <c r="P9" s="19"/>
    </row>
    <row r="10" spans="1:16">
      <c r="A10" s="24" t="s">
        <v>213</v>
      </c>
      <c r="B10" s="25">
        <f ca="1">'EF ele_warmte'!B12</f>
        <v>0.21885473449403747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3804.2268997781453</v>
      </c>
      <c r="C12" s="23">
        <f ca="1">C10*C8</f>
        <v>0</v>
      </c>
      <c r="D12" s="23">
        <f>D8*D10</f>
        <v>12243.580955012001</v>
      </c>
      <c r="E12" s="23">
        <f>E10*E8</f>
        <v>51.355032309929634</v>
      </c>
      <c r="F12" s="23">
        <f>F10*F8</f>
        <v>2061.8669101757396</v>
      </c>
      <c r="G12" s="23"/>
      <c r="H12" s="23"/>
      <c r="I12" s="23"/>
      <c r="J12" s="23">
        <f>J10*J8</f>
        <v>61.556245127011884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4301</v>
      </c>
      <c r="C26" s="36"/>
      <c r="D26" s="226"/>
    </row>
    <row r="27" spans="1:5" s="15" customFormat="1">
      <c r="A27" s="228" t="s">
        <v>701</v>
      </c>
      <c r="B27" s="37">
        <f>SUM(HH_hh_gas_aantal,HH_rest_gas_aantal)</f>
        <v>4034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3832.3</v>
      </c>
      <c r="C31" s="34" t="s">
        <v>110</v>
      </c>
      <c r="D31" s="172"/>
    </row>
    <row r="32" spans="1:5">
      <c r="A32" s="169" t="s">
        <v>72</v>
      </c>
      <c r="B32" s="33">
        <f>IF((B21*($B$26-($B$27-0.05*$B$27)-$B$60))&lt;0,0,B21*($B$26-($B$27-0.05*$B$27)-$B$60))</f>
        <v>3.3228808268726815</v>
      </c>
      <c r="C32" s="34" t="s">
        <v>110</v>
      </c>
      <c r="D32" s="172"/>
    </row>
    <row r="33" spans="1:6">
      <c r="A33" s="169" t="s">
        <v>73</v>
      </c>
      <c r="B33" s="33">
        <f>IF((B22*($B$26-($B$27-0.05*$B$27)-$B$60))&lt;0,0,B22*($B$26-($B$27-0.05*$B$27)-$B$60))</f>
        <v>95.233312405541568</v>
      </c>
      <c r="C33" s="34" t="s">
        <v>110</v>
      </c>
      <c r="D33" s="172"/>
    </row>
    <row r="34" spans="1:6">
      <c r="A34" s="169" t="s">
        <v>74</v>
      </c>
      <c r="B34" s="33">
        <f>IF((B24*($B$26-($B$27-0.05*$B$27)-$B$60))&lt;0,0,B24*($B$26-($B$27-0.05*$B$27)-$B$60))</f>
        <v>18.990528949699826</v>
      </c>
      <c r="C34" s="33">
        <f>B26*C24</f>
        <v>879.45822095372671</v>
      </c>
      <c r="D34" s="231"/>
    </row>
    <row r="35" spans="1:6">
      <c r="A35" s="169" t="s">
        <v>76</v>
      </c>
      <c r="B35" s="33">
        <f>IF((B19*($B$26-($B$27-0.05*$B$27)-$B$60))&lt;0,0,B19*($B$26-($B$27-0.05*$B$27)-$B$60))</f>
        <v>9.8895262704544109</v>
      </c>
      <c r="C35" s="33">
        <f>B35/2</f>
        <v>4.9447631352272055</v>
      </c>
      <c r="D35" s="231"/>
    </row>
    <row r="36" spans="1:6">
      <c r="A36" s="169" t="s">
        <v>77</v>
      </c>
      <c r="B36" s="33">
        <f>IF((B18*($B$26-($B$27-0.05*$B$27)-$B$60))&lt;0,0,B18*($B$26-($B$27-0.05*$B$27)-$B$60))</f>
        <v>341.2637515474313</v>
      </c>
      <c r="C36" s="34" t="s">
        <v>110</v>
      </c>
      <c r="D36" s="172"/>
    </row>
    <row r="37" spans="1:6">
      <c r="A37" s="169" t="s">
        <v>78</v>
      </c>
      <c r="B37" s="33">
        <f>B60</f>
        <v>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8040.2920000000004</v>
      </c>
      <c r="C5" s="17">
        <f>IF(ISERROR('Eigen informatie GS &amp; warmtenet'!B58),0,'Eigen informatie GS &amp; warmtenet'!B58)</f>
        <v>0</v>
      </c>
      <c r="D5" s="30">
        <f>SUM(D6:D12)</f>
        <v>9703.9306759999999</v>
      </c>
      <c r="E5" s="17">
        <f>SUM(E6:E12)</f>
        <v>156.89045176062962</v>
      </c>
      <c r="F5" s="17">
        <f>SUM(F6:F12)</f>
        <v>1312.5292395031342</v>
      </c>
      <c r="G5" s="18"/>
      <c r="H5" s="17"/>
      <c r="I5" s="17"/>
      <c r="J5" s="17">
        <f>SUM(J6:J12)</f>
        <v>0</v>
      </c>
      <c r="K5" s="17"/>
      <c r="L5" s="17"/>
      <c r="M5" s="17"/>
      <c r="N5" s="17">
        <f>SUM(N6:N12)</f>
        <v>90.390422813695906</v>
      </c>
      <c r="O5" s="17">
        <f>B38*B39*B40</f>
        <v>0</v>
      </c>
      <c r="P5" s="17">
        <f>B46*B47*B48/1000-B46*B47*B48/1000/B49</f>
        <v>0</v>
      </c>
      <c r="R5" s="32"/>
    </row>
    <row r="6" spans="1:18">
      <c r="A6" s="32" t="s">
        <v>53</v>
      </c>
      <c r="B6" s="37">
        <f>B26</f>
        <v>1985.348</v>
      </c>
      <c r="C6" s="33"/>
      <c r="D6" s="37">
        <f>IF(ISERROR(TER_kantoor_gas_kWh/1000),0,TER_kantoor_gas_kWh/1000)*0.902</f>
        <v>3389.7313340000001</v>
      </c>
      <c r="E6" s="33">
        <f>$C$26*'E Balans VL '!I12/100/3.6*1000000</f>
        <v>69.494989856014769</v>
      </c>
      <c r="F6" s="33">
        <f>$C$26*('E Balans VL '!L12+'E Balans VL '!N12)/100/3.6*1000000</f>
        <v>301.02138180387317</v>
      </c>
      <c r="G6" s="34"/>
      <c r="H6" s="33"/>
      <c r="I6" s="33"/>
      <c r="J6" s="33">
        <f>$C$26*('E Balans VL '!D12+'E Balans VL '!E12)/100/3.6*1000000</f>
        <v>0</v>
      </c>
      <c r="K6" s="33"/>
      <c r="L6" s="33"/>
      <c r="M6" s="33"/>
      <c r="N6" s="33">
        <f>$C$26*'E Balans VL '!Y12/100/3.6*1000000</f>
        <v>15.346118643177608</v>
      </c>
      <c r="O6" s="33"/>
      <c r="P6" s="33"/>
      <c r="R6" s="32"/>
    </row>
    <row r="7" spans="1:18">
      <c r="A7" s="32" t="s">
        <v>52</v>
      </c>
      <c r="B7" s="37">
        <f t="shared" ref="B7:B12" si="0">B27</f>
        <v>1100.1969999999999</v>
      </c>
      <c r="C7" s="33"/>
      <c r="D7" s="37">
        <f>IF(ISERROR(TER_horeca_gas_kWh/1000),0,TER_horeca_gas_kWh/1000)*0.902</f>
        <v>4341.340432</v>
      </c>
      <c r="E7" s="33">
        <f>$C$27*'E Balans VL '!I9/100/3.6*1000000</f>
        <v>62.065739857320857</v>
      </c>
      <c r="F7" s="33">
        <f>$C$27*('E Balans VL '!L9+'E Balans VL '!N9)/100/3.6*1000000</f>
        <v>191.66040596837152</v>
      </c>
      <c r="G7" s="34"/>
      <c r="H7" s="33"/>
      <c r="I7" s="33"/>
      <c r="J7" s="33">
        <f>$C$27*('E Balans VL '!D9+'E Balans VL '!E9)/100/3.6*1000000</f>
        <v>0</v>
      </c>
      <c r="K7" s="33"/>
      <c r="L7" s="33"/>
      <c r="M7" s="33"/>
      <c r="N7" s="33">
        <f>$C$27*'E Balans VL '!Y9/100/3.6*1000000</f>
        <v>0</v>
      </c>
      <c r="O7" s="33"/>
      <c r="P7" s="33"/>
      <c r="R7" s="32"/>
    </row>
    <row r="8" spans="1:18">
      <c r="A8" s="6" t="s">
        <v>51</v>
      </c>
      <c r="B8" s="37">
        <f t="shared" si="0"/>
        <v>4552.3239999999996</v>
      </c>
      <c r="C8" s="33"/>
      <c r="D8" s="37">
        <f>IF(ISERROR(TER_handel_gas_kWh/1000),0,TER_handel_gas_kWh/1000)*0.902</f>
        <v>1202.2252880000001</v>
      </c>
      <c r="E8" s="33">
        <f>$C$28*'E Balans VL '!I13/100/3.6*1000000</f>
        <v>23.371168906589546</v>
      </c>
      <c r="F8" s="33">
        <f>$C$28*('E Balans VL '!L13+'E Balans VL '!N13)/100/3.6*1000000</f>
        <v>701.89802017341958</v>
      </c>
      <c r="G8" s="34"/>
      <c r="H8" s="33"/>
      <c r="I8" s="33"/>
      <c r="J8" s="33">
        <f>$C$28*('E Balans VL '!D13+'E Balans VL '!E13)/100/3.6*1000000</f>
        <v>0</v>
      </c>
      <c r="K8" s="33"/>
      <c r="L8" s="33"/>
      <c r="M8" s="33"/>
      <c r="N8" s="33">
        <f>$C$28*'E Balans VL '!Y13/100/3.6*1000000</f>
        <v>2.1291775033941613</v>
      </c>
      <c r="O8" s="33"/>
      <c r="P8" s="33"/>
      <c r="R8" s="32"/>
    </row>
    <row r="9" spans="1:18">
      <c r="A9" s="32" t="s">
        <v>50</v>
      </c>
      <c r="B9" s="37">
        <f t="shared" si="0"/>
        <v>61.625999999999998</v>
      </c>
      <c r="C9" s="33"/>
      <c r="D9" s="37">
        <f>IF(ISERROR(TER_gezond_gas_kWh/1000),0,TER_gezond_gas_kWh/1000)*0.902</f>
        <v>149.34955199999999</v>
      </c>
      <c r="E9" s="33">
        <f>$C$29*'E Balans VL '!I10/100/3.6*1000000</f>
        <v>2.554353811535753E-2</v>
      </c>
      <c r="F9" s="33">
        <f>$C$29*('E Balans VL '!L10+'E Balans VL '!N10)/100/3.6*1000000</f>
        <v>15.177599965263051</v>
      </c>
      <c r="G9" s="34"/>
      <c r="H9" s="33"/>
      <c r="I9" s="33"/>
      <c r="J9" s="33">
        <f>$C$29*('E Balans VL '!D10+'E Balans VL '!E10)/100/3.6*1000000</f>
        <v>0</v>
      </c>
      <c r="K9" s="33"/>
      <c r="L9" s="33"/>
      <c r="M9" s="33"/>
      <c r="N9" s="33">
        <f>$C$29*'E Balans VL '!Y10/100/3.6*1000000</f>
        <v>0.53260117206051227</v>
      </c>
      <c r="O9" s="33"/>
      <c r="P9" s="33"/>
      <c r="R9" s="32"/>
    </row>
    <row r="10" spans="1:18">
      <c r="A10" s="32" t="s">
        <v>49</v>
      </c>
      <c r="B10" s="37">
        <f t="shared" si="0"/>
        <v>313.70699999999999</v>
      </c>
      <c r="C10" s="33"/>
      <c r="D10" s="37">
        <f>IF(ISERROR(TER_ander_gas_kWh/1000),0,TER_ander_gas_kWh/1000)*0.902</f>
        <v>426.19680400000004</v>
      </c>
      <c r="E10" s="33">
        <f>$C$30*'E Balans VL '!I14/100/3.6*1000000</f>
        <v>1.9123656119978993</v>
      </c>
      <c r="F10" s="33">
        <f>$C$30*('E Balans VL '!L14+'E Balans VL '!N14)/100/3.6*1000000</f>
        <v>83.168022998436257</v>
      </c>
      <c r="G10" s="34"/>
      <c r="H10" s="33"/>
      <c r="I10" s="33"/>
      <c r="J10" s="33">
        <f>$C$30*('E Balans VL '!D14+'E Balans VL '!E14)/100/3.6*1000000</f>
        <v>0</v>
      </c>
      <c r="K10" s="33"/>
      <c r="L10" s="33"/>
      <c r="M10" s="33"/>
      <c r="N10" s="33">
        <f>$C$30*'E Balans VL '!Y14/100/3.6*1000000</f>
        <v>72.302684790671591</v>
      </c>
      <c r="O10" s="33"/>
      <c r="P10" s="33"/>
      <c r="R10" s="32"/>
    </row>
    <row r="11" spans="1:18">
      <c r="A11" s="32" t="s">
        <v>54</v>
      </c>
      <c r="B11" s="37">
        <f t="shared" si="0"/>
        <v>27.09</v>
      </c>
      <c r="C11" s="33"/>
      <c r="D11" s="37">
        <f>IF(ISERROR(TER_onderwijs_gas_kWh/1000),0,TER_onderwijs_gas_kWh/1000)*0.902</f>
        <v>195.087266</v>
      </c>
      <c r="E11" s="33">
        <f>$C$31*'E Balans VL '!I11/100/3.6*1000000</f>
        <v>2.0643990591201956E-2</v>
      </c>
      <c r="F11" s="33">
        <f>$C$31*('E Balans VL '!L11+'E Balans VL '!N11)/100/3.6*1000000</f>
        <v>19.603808593770719</v>
      </c>
      <c r="G11" s="34"/>
      <c r="H11" s="33"/>
      <c r="I11" s="33"/>
      <c r="J11" s="33">
        <f>$C$31*('E Balans VL '!D11+'E Balans VL '!E11)/100/3.6*1000000</f>
        <v>0</v>
      </c>
      <c r="K11" s="33"/>
      <c r="L11" s="33"/>
      <c r="M11" s="33"/>
      <c r="N11" s="33">
        <f>$C$31*'E Balans VL '!Y11/100/3.6*1000000</f>
        <v>7.9840704392023856E-2</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8040.2920000000004</v>
      </c>
      <c r="C16" s="21">
        <f ca="1">C5+C13+C14</f>
        <v>0</v>
      </c>
      <c r="D16" s="21">
        <f t="shared" ref="D16:N16" ca="1" si="1">MAX((D5+D13+D14),0)</f>
        <v>9703.9306759999999</v>
      </c>
      <c r="E16" s="21">
        <f t="shared" si="1"/>
        <v>156.89045176062962</v>
      </c>
      <c r="F16" s="21">
        <f t="shared" ca="1" si="1"/>
        <v>1312.5292395031342</v>
      </c>
      <c r="G16" s="21">
        <f t="shared" si="1"/>
        <v>0</v>
      </c>
      <c r="H16" s="21">
        <f t="shared" si="1"/>
        <v>0</v>
      </c>
      <c r="I16" s="21">
        <f t="shared" si="1"/>
        <v>0</v>
      </c>
      <c r="J16" s="21">
        <f t="shared" si="1"/>
        <v>0</v>
      </c>
      <c r="K16" s="21">
        <f t="shared" si="1"/>
        <v>0</v>
      </c>
      <c r="L16" s="21">
        <f t="shared" ca="1" si="1"/>
        <v>0</v>
      </c>
      <c r="M16" s="21">
        <f t="shared" si="1"/>
        <v>0</v>
      </c>
      <c r="N16" s="21">
        <f t="shared" ca="1" si="1"/>
        <v>90.390422813695906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0.21885473449403747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1759.6559709145336</v>
      </c>
      <c r="C20" s="23">
        <f t="shared" ref="C20:P20" ca="1" si="2">C16*C18</f>
        <v>0</v>
      </c>
      <c r="D20" s="23">
        <f t="shared" ca="1" si="2"/>
        <v>1960.193996552</v>
      </c>
      <c r="E20" s="23">
        <f t="shared" si="2"/>
        <v>35.614132549662926</v>
      </c>
      <c r="F20" s="23">
        <f t="shared" ca="1" si="2"/>
        <v>350.44530694733686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1985.348</v>
      </c>
      <c r="C26" s="39">
        <f>IF(ISERROR(B26*3.6/1000000/'E Balans VL '!Z12*100),0,B26*3.6/1000000/'E Balans VL '!Z12*100)</f>
        <v>4.1778356208172794E-2</v>
      </c>
      <c r="D26" s="234" t="s">
        <v>706</v>
      </c>
      <c r="F26" s="6"/>
    </row>
    <row r="27" spans="1:18">
      <c r="A27" s="229" t="s">
        <v>52</v>
      </c>
      <c r="B27" s="33">
        <f>IF(ISERROR(TER_horeca_ele_kWh/1000),0,TER_horeca_ele_kWh/1000)</f>
        <v>1100.1969999999999</v>
      </c>
      <c r="C27" s="39">
        <f>IF(ISERROR(B27*3.6/1000000/'E Balans VL '!Z9*100),0,B27*3.6/1000000/'E Balans VL '!Z9*100)</f>
        <v>9.3150588465059456E-2</v>
      </c>
      <c r="D27" s="234" t="s">
        <v>706</v>
      </c>
      <c r="F27" s="6"/>
    </row>
    <row r="28" spans="1:18">
      <c r="A28" s="169" t="s">
        <v>51</v>
      </c>
      <c r="B28" s="33">
        <f>IF(ISERROR(TER_handel_ele_kWh/1000),0,TER_handel_ele_kWh/1000)</f>
        <v>4552.3239999999996</v>
      </c>
      <c r="C28" s="39">
        <f>IF(ISERROR(B28*3.6/1000000/'E Balans VL '!Z13*100),0,B28*3.6/1000000/'E Balans VL '!Z13*100)</f>
        <v>0.12603046044898153</v>
      </c>
      <c r="D28" s="234" t="s">
        <v>706</v>
      </c>
      <c r="F28" s="6"/>
    </row>
    <row r="29" spans="1:18">
      <c r="A29" s="229" t="s">
        <v>50</v>
      </c>
      <c r="B29" s="33">
        <f>IF(ISERROR(TER_gezond_ele_kWh/1000),0,TER_gezond_ele_kWh/1000)</f>
        <v>61.625999999999998</v>
      </c>
      <c r="C29" s="39">
        <f>IF(ISERROR(B29*3.6/1000000/'E Balans VL '!Z10*100),0,B29*3.6/1000000/'E Balans VL '!Z10*100)</f>
        <v>8.0106967961354521E-3</v>
      </c>
      <c r="D29" s="234" t="s">
        <v>706</v>
      </c>
      <c r="F29" s="6"/>
    </row>
    <row r="30" spans="1:18">
      <c r="A30" s="229" t="s">
        <v>49</v>
      </c>
      <c r="B30" s="33">
        <f>IF(ISERROR(TER_ander_ele_kWh/1000),0,TER_ander_ele_kWh/1000)</f>
        <v>313.70699999999999</v>
      </c>
      <c r="C30" s="39">
        <f>IF(ISERROR(B30*3.6/1000000/'E Balans VL '!Z14*100),0,B30*3.6/1000000/'E Balans VL '!Z14*100)</f>
        <v>2.4315169412960309E-2</v>
      </c>
      <c r="D30" s="234" t="s">
        <v>706</v>
      </c>
      <c r="F30" s="6"/>
    </row>
    <row r="31" spans="1:18">
      <c r="A31" s="229" t="s">
        <v>54</v>
      </c>
      <c r="B31" s="33">
        <f>IF(ISERROR(TER_onderwijs_ele_kWh/1000),0,TER_onderwijs_ele_kWh/1000)</f>
        <v>27.09</v>
      </c>
      <c r="C31" s="39">
        <f>IF(ISERROR(B31*3.6/1000000/'E Balans VL '!Z11*100),0,B31*3.6/1000000/'E Balans VL '!Z11*100)</f>
        <v>5.1827786038314734E-3</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27144.345000000001</v>
      </c>
      <c r="C5" s="17">
        <f>IF(ISERROR('Eigen informatie GS &amp; warmtenet'!B59),0,'Eigen informatie GS &amp; warmtenet'!B59)</f>
        <v>0</v>
      </c>
      <c r="D5" s="30">
        <f>SUM(D6:D15)</f>
        <v>55161.426650000009</v>
      </c>
      <c r="E5" s="17">
        <f>SUM(E6:E15)</f>
        <v>274.60132287185837</v>
      </c>
      <c r="F5" s="17">
        <f>SUM(F6:F15)</f>
        <v>5385.95268415596</v>
      </c>
      <c r="G5" s="18"/>
      <c r="H5" s="17"/>
      <c r="I5" s="17"/>
      <c r="J5" s="17">
        <f>SUM(J6:J15)</f>
        <v>186.85238518393612</v>
      </c>
      <c r="K5" s="17"/>
      <c r="L5" s="17"/>
      <c r="M5" s="17"/>
      <c r="N5" s="17">
        <f>SUM(N6:N15)</f>
        <v>465.15465785834243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610.85500000000002</v>
      </c>
      <c r="C8" s="33"/>
      <c r="D8" s="37">
        <f>IF( ISERROR(IND_metaal_Gas_kWH/1000),0,IND_metaal_Gas_kWH/1000)*0.902</f>
        <v>0</v>
      </c>
      <c r="E8" s="33">
        <f>C30*'E Balans VL '!I18/100/3.6*1000000</f>
        <v>4.2923433059578624</v>
      </c>
      <c r="F8" s="33">
        <f>C30*'E Balans VL '!L18/100/3.6*1000000+C30*'E Balans VL '!N18/100/3.6*1000000</f>
        <v>67.068305146480824</v>
      </c>
      <c r="G8" s="34"/>
      <c r="H8" s="33"/>
      <c r="I8" s="33"/>
      <c r="J8" s="40">
        <f>C30*'E Balans VL '!D18/100/3.6*1000000+C30*'E Balans VL '!E18/100/3.6*1000000</f>
        <v>12.603255281841136</v>
      </c>
      <c r="K8" s="33"/>
      <c r="L8" s="33"/>
      <c r="M8" s="33"/>
      <c r="N8" s="33">
        <f>C30*'E Balans VL '!Y18/100/3.6*1000000</f>
        <v>2.2895285337299121</v>
      </c>
      <c r="O8" s="33"/>
      <c r="P8" s="33"/>
      <c r="R8" s="32"/>
    </row>
    <row r="9" spans="1:18">
      <c r="A9" s="6" t="s">
        <v>32</v>
      </c>
      <c r="B9" s="37">
        <f t="shared" si="0"/>
        <v>323.47500000000002</v>
      </c>
      <c r="C9" s="33"/>
      <c r="D9" s="37">
        <f>IF( ISERROR(IND_andere_gas_kWh/1000),0,IND_andere_gas_kWh/1000)*0.902</f>
        <v>274.17552799999999</v>
      </c>
      <c r="E9" s="33">
        <f>C31*'E Balans VL '!I19/100/3.6*1000000</f>
        <v>5.4331588945271827</v>
      </c>
      <c r="F9" s="33">
        <f>C31*'E Balans VL '!L19/100/3.6*1000000+C31*'E Balans VL '!N19/100/3.6*1000000</f>
        <v>252.87433123965755</v>
      </c>
      <c r="G9" s="34"/>
      <c r="H9" s="33"/>
      <c r="I9" s="33"/>
      <c r="J9" s="40">
        <f>C31*'E Balans VL '!D19/100/3.6*1000000+C31*'E Balans VL '!E19/100/3.6*1000000</f>
        <v>2.9174589561665031E-2</v>
      </c>
      <c r="K9" s="33"/>
      <c r="L9" s="33"/>
      <c r="M9" s="33"/>
      <c r="N9" s="33">
        <f>C31*'E Balans VL '!Y19/100/3.6*1000000</f>
        <v>23.974687199488042</v>
      </c>
      <c r="O9" s="33"/>
      <c r="P9" s="33"/>
      <c r="R9" s="32"/>
    </row>
    <row r="10" spans="1:18">
      <c r="A10" s="6" t="s">
        <v>40</v>
      </c>
      <c r="B10" s="37">
        <f t="shared" si="0"/>
        <v>142.11199999999999</v>
      </c>
      <c r="C10" s="33"/>
      <c r="D10" s="37">
        <f>IF( ISERROR(IND_voed_gas_kWh/1000),0,IND_voed_gas_kWh/1000)*0.902</f>
        <v>0</v>
      </c>
      <c r="E10" s="33">
        <f>C32*'E Balans VL '!I20/100/3.6*1000000</f>
        <v>1.2965708333612391</v>
      </c>
      <c r="F10" s="33">
        <f>C32*'E Balans VL '!L20/100/3.6*1000000+C32*'E Balans VL '!N20/100/3.6*1000000</f>
        <v>22.927110603229359</v>
      </c>
      <c r="G10" s="34"/>
      <c r="H10" s="33"/>
      <c r="I10" s="33"/>
      <c r="J10" s="40">
        <f>C32*'E Balans VL '!D20/100/3.6*1000000+C32*'E Balans VL '!E20/100/3.6*1000000</f>
        <v>0.5853103891372532</v>
      </c>
      <c r="K10" s="33"/>
      <c r="L10" s="33"/>
      <c r="M10" s="33"/>
      <c r="N10" s="33">
        <f>C32*'E Balans VL '!Y20/100/3.6*1000000</f>
        <v>2.0789865015429596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1795.0129999999999</v>
      </c>
      <c r="C12" s="33"/>
      <c r="D12" s="37">
        <f>IF( ISERROR(IND_min_gas_kWh/1000),0,IND_min_gas_kWh/1000)*0.902</f>
        <v>1571.6384860000001</v>
      </c>
      <c r="E12" s="33">
        <f>C34*'E Balans VL '!I22/100/3.6*1000000</f>
        <v>44.522158073990788</v>
      </c>
      <c r="F12" s="33">
        <f>C34*'E Balans VL '!L22/100/3.6*1000000+C34*'E Balans VL '!N22/100/3.6*1000000</f>
        <v>190.73731849276223</v>
      </c>
      <c r="G12" s="34"/>
      <c r="H12" s="33"/>
      <c r="I12" s="33"/>
      <c r="J12" s="40">
        <f>C34*'E Balans VL '!D22/100/3.6*1000000+C34*'E Balans VL '!E22/100/3.6*1000000</f>
        <v>10.196727085780761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362.94225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24272.89</v>
      </c>
      <c r="C15" s="33"/>
      <c r="D15" s="37">
        <f>IF( ISERROR(IND_rest_gas_kWh/1000),0,IND_rest_gas_kWh/1000)*0.902</f>
        <v>52952.670386000005</v>
      </c>
      <c r="E15" s="33">
        <f>C37*'E Balans VL '!I15/100/3.6*1000000</f>
        <v>219.05709176402129</v>
      </c>
      <c r="F15" s="33">
        <f>C37*'E Balans VL '!L15/100/3.6*1000000+C37*'E Balans VL '!N15/100/3.6*1000000</f>
        <v>4852.3456186738304</v>
      </c>
      <c r="G15" s="34"/>
      <c r="H15" s="33"/>
      <c r="I15" s="33"/>
      <c r="J15" s="40">
        <f>C37*'E Balans VL '!D15/100/3.6*1000000+C37*'E Balans VL '!E15/100/3.6*1000000</f>
        <v>163.43791783761532</v>
      </c>
      <c r="K15" s="33"/>
      <c r="L15" s="33"/>
      <c r="M15" s="33"/>
      <c r="N15" s="33">
        <f>C37*'E Balans VL '!Y15/100/3.6*1000000</f>
        <v>436.81145562358154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27144.345000000001</v>
      </c>
      <c r="C18" s="21">
        <f>C5+C16</f>
        <v>0</v>
      </c>
      <c r="D18" s="21">
        <f>MAX((D5+D16),0)</f>
        <v>55161.426650000009</v>
      </c>
      <c r="E18" s="21">
        <f>MAX((E5+E16),0)</f>
        <v>274.60132287185837</v>
      </c>
      <c r="F18" s="21">
        <f>MAX((F5+F16),0)</f>
        <v>5385.95268415596</v>
      </c>
      <c r="G18" s="21"/>
      <c r="H18" s="21"/>
      <c r="I18" s="21"/>
      <c r="J18" s="21">
        <f>MAX((J5+J16),0)</f>
        <v>186.85238518393612</v>
      </c>
      <c r="K18" s="21"/>
      <c r="L18" s="21">
        <f>MAX((L5+L16),0)</f>
        <v>0</v>
      </c>
      <c r="M18" s="21"/>
      <c r="N18" s="21">
        <f>MAX((N5+N16),0)</f>
        <v>465.15465785834243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0.21885473449403747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5940.6684179895537</v>
      </c>
      <c r="C22" s="23">
        <f ca="1">C18*C20</f>
        <v>0</v>
      </c>
      <c r="D22" s="23">
        <f>D18*D20</f>
        <v>11142.608183300003</v>
      </c>
      <c r="E22" s="23">
        <f>E18*E20</f>
        <v>62.334500291911851</v>
      </c>
      <c r="F22" s="23">
        <f>F18*F20</f>
        <v>1438.0493666696414</v>
      </c>
      <c r="G22" s="23"/>
      <c r="H22" s="23"/>
      <c r="I22" s="23"/>
      <c r="J22" s="23">
        <f>J18*J20</f>
        <v>66.145744355113379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610.85500000000002</v>
      </c>
      <c r="C30" s="39">
        <f>IF(ISERROR(B30*3.6/1000000/'E Balans VL '!Z18*100),0,B30*3.6/1000000/'E Balans VL '!Z18*100)</f>
        <v>4.0664990369321363E-2</v>
      </c>
      <c r="D30" s="234" t="s">
        <v>706</v>
      </c>
    </row>
    <row r="31" spans="1:18">
      <c r="A31" s="6" t="s">
        <v>32</v>
      </c>
      <c r="B31" s="37">
        <f>IF( ISERROR(IND_ander_ele_kWh/1000),0,IND_ander_ele_kWh/1000)</f>
        <v>323.47500000000002</v>
      </c>
      <c r="C31" s="39">
        <f>IF(ISERROR(B31*3.6/1000000/'E Balans VL '!Z19*100),0,B31*3.6/1000000/'E Balans VL '!Z19*100)</f>
        <v>1.4338364835767118E-2</v>
      </c>
      <c r="D31" s="234" t="s">
        <v>706</v>
      </c>
    </row>
    <row r="32" spans="1:18">
      <c r="A32" s="169" t="s">
        <v>40</v>
      </c>
      <c r="B32" s="37">
        <f>IF( ISERROR(IND_voed_ele_kWh/1000),0,IND_voed_ele_kWh/1000)</f>
        <v>142.11199999999999</v>
      </c>
      <c r="C32" s="39">
        <f>IF(ISERROR(B32*3.6/1000000/'E Balans VL '!Z20*100),0,B32*3.6/1000000/'E Balans VL '!Z20*100)</f>
        <v>4.7469484665656351E-3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1795.0129999999999</v>
      </c>
      <c r="C34" s="39">
        <f>IF(ISERROR(B34*3.6/1000000/'E Balans VL '!Z22*100),0,B34*3.6/1000000/'E Balans VL '!Z22*100)</f>
        <v>0.34911031140298254</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24272.89</v>
      </c>
      <c r="C37" s="39">
        <f>IF(ISERROR(B37*3.6/1000000/'E Balans VL '!Z15*100),0,B37*3.6/1000000/'E Balans VL '!Z15*100)</f>
        <v>0.18055075767963294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40.338000000000001</v>
      </c>
      <c r="C5" s="17">
        <f>'Eigen informatie GS &amp; warmtenet'!B60</f>
        <v>0</v>
      </c>
      <c r="D5" s="30">
        <f>IF(ISERROR(SUM(LB_lb_gas_kWh,LB_rest_gas_kWh)/1000),0,SUM(LB_lb_gas_kWh,LB_rest_gas_kWh)/1000)*0.902</f>
        <v>41.751776</v>
      </c>
      <c r="E5" s="17">
        <f>B17*'E Balans VL '!I25/3.6*1000000/100</f>
        <v>0.42242826882087764</v>
      </c>
      <c r="F5" s="17">
        <f>B17*('E Balans VL '!L25/3.6*1000000+'E Balans VL '!N25/3.6*1000000)/100</f>
        <v>172.67729037049565</v>
      </c>
      <c r="G5" s="18"/>
      <c r="H5" s="17"/>
      <c r="I5" s="17"/>
      <c r="J5" s="17">
        <f>('E Balans VL '!D25+'E Balans VL '!E25)/3.6*1000000*landbouw!B17/100</f>
        <v>3.602544955662017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40.338000000000001</v>
      </c>
      <c r="C8" s="21">
        <f>C5+C6</f>
        <v>0</v>
      </c>
      <c r="D8" s="21">
        <f>MAX((D5+D6),0)</f>
        <v>41.751776</v>
      </c>
      <c r="E8" s="21">
        <f>MAX((E5+E6),0)</f>
        <v>0.42242826882087764</v>
      </c>
      <c r="F8" s="21">
        <f>MAX((F5+F6),0)</f>
        <v>172.67729037049565</v>
      </c>
      <c r="G8" s="21"/>
      <c r="H8" s="21"/>
      <c r="I8" s="21"/>
      <c r="J8" s="21">
        <f>MAX((J5+J6),0)</f>
        <v>3.602544955662017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0.21885473449403747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8.828162280020484</v>
      </c>
      <c r="C12" s="23">
        <f ca="1">C8*C10</f>
        <v>0</v>
      </c>
      <c r="D12" s="23">
        <f>D8*D10</f>
        <v>8.4338587520000008</v>
      </c>
      <c r="E12" s="23">
        <f>E8*E10</f>
        <v>9.5891217022339229E-2</v>
      </c>
      <c r="F12" s="23">
        <f>F8*F10</f>
        <v>46.104836528922341</v>
      </c>
      <c r="G12" s="23"/>
      <c r="H12" s="23"/>
      <c r="I12" s="23"/>
      <c r="J12" s="23">
        <f>J8*J10</f>
        <v>1.2753009143043539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6.2087968672965002E-3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4">
        <f>B26*'GWP N2O_CH4'!B5</f>
        <v>0</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4">
        <f>B27*'GWP N2O_CH4'!B5</f>
        <v>0</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4">
        <f>B28*'GWP N2O_CH4'!B4</f>
        <v>0</v>
      </c>
      <c r="D28" s="50"/>
    </row>
    <row r="29" spans="1:4">
      <c r="A29" s="41" t="s">
        <v>272</v>
      </c>
      <c r="B29" s="244">
        <f>B34*'ha_N2O bodem landbouw'!B4</f>
        <v>9.8967686023897175E-2</v>
      </c>
      <c r="C29" s="244">
        <f>B29*'GWP N2O_CH4'!B4</f>
        <v>30.679982667408126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1.6355709927023796E-5</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1.3145281149510977E-6</v>
      </c>
      <c r="C5" s="435" t="s">
        <v>210</v>
      </c>
      <c r="D5" s="420">
        <f>SUM(D6:D11)</f>
        <v>4.1391031853415617E-6</v>
      </c>
      <c r="E5" s="420">
        <f>SUM(E6:E11)</f>
        <v>4.2949550023007596E-4</v>
      </c>
      <c r="F5" s="433" t="s">
        <v>210</v>
      </c>
      <c r="G5" s="420">
        <f>SUM(G6:G11)</f>
        <v>7.8963570827429053E-2</v>
      </c>
      <c r="H5" s="420">
        <f>SUM(H6:H11)</f>
        <v>1.3726825931941217E-2</v>
      </c>
      <c r="I5" s="435" t="s">
        <v>210</v>
      </c>
      <c r="J5" s="435" t="s">
        <v>210</v>
      </c>
      <c r="K5" s="435" t="s">
        <v>210</v>
      </c>
      <c r="L5" s="435" t="s">
        <v>210</v>
      </c>
      <c r="M5" s="420">
        <f>SUM(M6:M11)</f>
        <v>4.033463667879998E-3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1.2084520120414154E-6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3.8262261058672364E-6</v>
      </c>
      <c r="E6" s="423">
        <f>vkm_GW_PW*SUMIFS(TableVerdeelsleutelVkm[LPG],TableVerdeelsleutelVkm[Voertuigtype],"Lichte voertuigen")*SUMIFS(TableECFTransport[EnergieConsumptieFactor (PJ per km)],TableECFTransport[Index],CONCATENATE($A6,"_LPG_LPG"))</f>
        <v>3.9872603167386374E-4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5.3110406818352177E-2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1.2741071916681354E-2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2.8743613963541784E-3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4.581969835697551E-8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2.0654473646177091E-2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5.5921948816020892E-7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8.8980331358877506E-4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5.8145296149954581E-8</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3.1287707947432508E-7</v>
      </c>
      <c r="E8" s="423">
        <f>vkm_NGW_PW*SUMIFS(TableVerdeelsleutelVkm[LPG],TableVerdeelsleutelVkm[Voertuigtype],"Lichte voertuigen")*SUMIFS(TableECFTransport[EnergieConsumptieFactor (PJ per km)],TableECFTransport[Index],CONCATENATE($A8,"_LPG_LPG"))</f>
        <v>3.0769468556212232E-5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3.8805202613828153E-3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9.851636960106333E-4</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2.1251185305873449E-4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2.1111084027521631E-9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1.3181701015169654E-3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3.109976106862035E-8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5.678710487831025E-5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0.36514669859752713</v>
      </c>
      <c r="C14" s="21"/>
      <c r="D14" s="21">
        <f t="shared" ref="D14:M14" si="0">((D5)*10^9/3600)+D12</f>
        <v>1.1497508848171005</v>
      </c>
      <c r="E14" s="21">
        <f t="shared" si="0"/>
        <v>119.30430561946555</v>
      </c>
      <c r="F14" s="21"/>
      <c r="G14" s="21">
        <f t="shared" si="0"/>
        <v>21934.325229841405</v>
      </c>
      <c r="H14" s="21">
        <f t="shared" si="0"/>
        <v>3813.0072033170045</v>
      </c>
      <c r="I14" s="21"/>
      <c r="J14" s="21"/>
      <c r="K14" s="21"/>
      <c r="L14" s="21"/>
      <c r="M14" s="21">
        <f t="shared" si="0"/>
        <v>1120.4065744111106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0.21885473449403747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7.9914083772936129E-2</v>
      </c>
      <c r="C18" s="23"/>
      <c r="D18" s="23">
        <f t="shared" ref="D18:M18" si="1">D14*D16</f>
        <v>0.23224967873305433</v>
      </c>
      <c r="E18" s="23">
        <f t="shared" si="1"/>
        <v>27.082077375618681</v>
      </c>
      <c r="F18" s="23"/>
      <c r="G18" s="23">
        <f t="shared" si="1"/>
        <v>5856.4648363676552</v>
      </c>
      <c r="H18" s="23">
        <f t="shared" si="1"/>
        <v>949.43879362593407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1.9962816793866371E-5</v>
      </c>
      <c r="C50" s="315">
        <f t="shared" ref="C50:P50" si="2">SUM(C51:C52)</f>
        <v>0</v>
      </c>
      <c r="D50" s="315">
        <f t="shared" si="2"/>
        <v>0</v>
      </c>
      <c r="E50" s="315">
        <f t="shared" si="2"/>
        <v>0</v>
      </c>
      <c r="F50" s="315">
        <f t="shared" si="2"/>
        <v>0</v>
      </c>
      <c r="G50" s="315">
        <f t="shared" si="2"/>
        <v>4.3307326795763469E-3</v>
      </c>
      <c r="H50" s="315">
        <f t="shared" si="2"/>
        <v>0</v>
      </c>
      <c r="I50" s="315">
        <f t="shared" si="2"/>
        <v>0</v>
      </c>
      <c r="J50" s="315">
        <f t="shared" si="2"/>
        <v>0</v>
      </c>
      <c r="K50" s="315">
        <f t="shared" si="2"/>
        <v>0</v>
      </c>
      <c r="L50" s="315">
        <f t="shared" si="2"/>
        <v>0</v>
      </c>
      <c r="M50" s="315">
        <f t="shared" si="2"/>
        <v>1.8542533791676439E-4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1.9962816793866371E-5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4.3307326795763469E-3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1.8542533791676439E-4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5.5452268871851036</v>
      </c>
      <c r="C54" s="21">
        <f t="shared" ref="C54:P54" si="3">(C50)*10^9/3600</f>
        <v>0</v>
      </c>
      <c r="D54" s="21">
        <f t="shared" si="3"/>
        <v>0</v>
      </c>
      <c r="E54" s="21">
        <f t="shared" si="3"/>
        <v>0</v>
      </c>
      <c r="F54" s="21">
        <f t="shared" si="3"/>
        <v>0</v>
      </c>
      <c r="G54" s="21">
        <f t="shared" si="3"/>
        <v>1202.9812998823186</v>
      </c>
      <c r="H54" s="21">
        <f t="shared" si="3"/>
        <v>0</v>
      </c>
      <c r="I54" s="21">
        <f t="shared" si="3"/>
        <v>0</v>
      </c>
      <c r="J54" s="21">
        <f t="shared" si="3"/>
        <v>0</v>
      </c>
      <c r="K54" s="21">
        <f t="shared" si="3"/>
        <v>0</v>
      </c>
      <c r="L54" s="21">
        <f t="shared" si="3"/>
        <v>0</v>
      </c>
      <c r="M54" s="21">
        <f t="shared" si="3"/>
        <v>51.507038310212337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0.21885473449403747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1.2135991581040937</v>
      </c>
      <c r="C58" s="23">
        <f t="shared" ref="C58:P58" ca="1" si="4">C54*C56</f>
        <v>0</v>
      </c>
      <c r="D58" s="23">
        <f t="shared" si="4"/>
        <v>0</v>
      </c>
      <c r="E58" s="23">
        <f t="shared" si="4"/>
        <v>0</v>
      </c>
      <c r="F58" s="23">
        <f t="shared" si="4"/>
        <v>0</v>
      </c>
      <c r="G58" s="23">
        <f t="shared" si="4"/>
        <v>321.19600706857909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522.41249768338037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522.41249768338037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2021-06-29T16:51:00Z</dcterms:modified>
</cp:coreProperties>
</file>