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8" i="15"/>
  <c r="C20" i="15" s="1"/>
  <c r="D40" i="14" s="1"/>
  <c r="C56" i="22"/>
  <c r="C58" i="22" s="1"/>
  <c r="D49" i="14" s="1"/>
  <c r="D52" i="14" s="1"/>
  <c r="C20" i="16"/>
  <c r="C22" i="16" s="1"/>
  <c r="D43" i="14" s="1"/>
  <c r="C10" i="13"/>
  <c r="C12" i="13" s="1"/>
  <c r="C22" i="59"/>
  <c r="C17" i="19"/>
  <c r="C19" i="19" s="1"/>
  <c r="D39" i="14" s="1"/>
  <c r="C10" i="17"/>
  <c r="C12" i="17" s="1"/>
  <c r="D54" i="14" s="1"/>
  <c r="D56" i="14" s="1"/>
  <c r="C17" i="49"/>
  <c r="C29" i="20"/>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<sst xmlns="http://schemas.openxmlformats.org/spreadsheetml/2006/main" count="2375" uniqueCount="871">
  <si>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</si>
  <si>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</si>
  <si>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</si>
  <si>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</si>
  <si>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</si>
  <si>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</si>
  <si>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</si>
  <si>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</si>
  <si>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</si>
  <si>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</si>
  <si>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</si>
  <si>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</si>
  <si>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</si>
  <si>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</si>
  <si>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</si>
  <si>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</si>
  <si>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</si>
  <si>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</si>
  <si>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</si>
  <si>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</si>
  <si>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</si>
  <si>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</si>
  <si>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</si>
  <si>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</si>
  <si>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</si>
  <si>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</si>
  <si>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</si>
  <si>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</si>
  <si>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</si>
  <si>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</si>
  <si>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</si>
  <si>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</si>
  <si>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</si>
  <si>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</si>
  <si>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</si>
  <si>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</si>
  <si>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</si>
  <si>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</si>
  <si>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</si>
  <si>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</si>
  <si>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</si>
  <si>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</si>
  <si>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</si>
  <si>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</si>
  <si>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</si>
  <si>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</si>
  <si>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</si>
  <si>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</si>
  <si>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</si>
  <si>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</si>
  <si>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</si>
  <si>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</si>
  <si>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</si>
  <si>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</si>
  <si>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</si>
  <si>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</si>
  <si>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</si>
  <si>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</si>
  <si>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</si>
  <si>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</si>
  <si>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</si>
  <si>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</si>
  <si>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</si>
  <si>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</si>
  <si>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</si>
  <si>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</si>
  <si>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</si>
  <si>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</si>
  <si>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</si>
  <si>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</si>
  <si>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</si>
  <si>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</si>
  <si>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</si>
  <si>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</si>
  <si>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</si>
  <si>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</si>
  <si>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</si>
  <si>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</si>
  <si>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</si>
  <si>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</si>
  <si>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</si>
  <si>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</si>
  <si>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</si>
  <si>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</si>
  <si>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</si>
  <si>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</si>
  <si>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</si>
  <si>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</si>
  <si>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</si>
  <si>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</si>
  <si>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</si>
  <si>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</si>
  <si>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</si>
  <si>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</si>
  <si>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</si>
  <si>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</si>
  <si>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</si>
  <si>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</si>
  <si>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</si>
  <si>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</si>
  <si>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</si>
  <si>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</si>
  <si>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</si>
  <si>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</si>
  <si>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</si>
  <si>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</si>
  <si>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</si>
  <si>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</si>
  <si>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</si>
  <si>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</si>
  <si>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</si>
  <si>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</si>
  <si>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</si>
  <si>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</si>
  <si>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</si>
  <si>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</si>
  <si>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</si>
  <si>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</si>
  <si>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</si>
  <si>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</si>
  <si>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</si>
  <si>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</si>
  <si>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</si>
  <si>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</si>
  <si>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</si>
  <si>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</si>
  <si>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</si>
  <si>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</si>
  <si>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</si>
  <si>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</si>
  <si>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</si>
  <si>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</si>
  <si>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</si>
  <si>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</si>
  <si>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</si>
  <si>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</si>
  <si>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</si>
  <si>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</si>
  <si>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</si>
  <si>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</si>
  <si>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</si>
  <si>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</si>
  <si>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</si>
  <si>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</si>
  <si>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</si>
  <si>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</si>
  <si>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</si>
  <si>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</si>
  <si>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</si>
  <si>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</si>
  <si>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</si>
  <si>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</si>
  <si>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</si>
  <si>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</si>
  <si>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</si>
  <si>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</si>
  <si>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</si>
  <si>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</si>
  <si>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</si>
  <si>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</si>
  <si>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</si>
  <si>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</si>
  <si>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</si>
  <si>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</si>
  <si>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</si>
  <si>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</si>
  <si>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</si>
  <si>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</si>
  <si>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</si>
  <si>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</si>
  <si>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</si>
  <si>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</si>
  <si>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</si>
  <si>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</si>
  <si>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</si>
  <si>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</si>
  <si>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</si>
  <si>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</si>
  <si>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</si>
  <si>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</si>
  <si>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</si>
  <si>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</si>
  <si>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</si>
  <si>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</si>
  <si>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</si>
  <si>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</si>
  <si>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</si>
  <si>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</si>
  <si>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</si>
  <si>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</si>
  <si>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</si>
  <si>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</si>
  <si>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</si>
  <si>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</si>
  <si>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</si>
  <si>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</si>
  <si>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</si>
  <si>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</si>
  <si>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</si>
  <si>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</si>
  <si>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</si>
  <si>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</si>
  <si>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</si>
  <si>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</si>
  <si>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</si>
  <si>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</si>
  <si>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</si>
  <si>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</si>
  <si>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</si>
  <si>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</si>
  <si>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</si>
  <si>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</si>
  <si>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</si>
  <si>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</si>
  <si>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</si>
  <si>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</si>
  <si>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</si>
  <si>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</si>
  <si>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</si>
  <si>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</si>
  <si>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</si>
  <si>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</si>
  <si>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</si>
  <si>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</si>
  <si>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</si>
  <si>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</si>
  <si>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</si>
  <si>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</si>
  <si>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</si>
  <si>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</si>
  <si>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</si>
  <si>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</si>
  <si>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</si>
  <si>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</si>
  <si>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</si>
  <si>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</si>
  <si>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</si>
  <si>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</si>
  <si>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</si>
  <si>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</si>
  <si>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</si>
  <si>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</si>
  <si>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</si>
  <si>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</si>
  <si>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</si>
  <si>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</si>
  <si>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</si>
  <si>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</si>
  <si>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</si>
  <si>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</si>
  <si>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</si>
  <si>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</si>
  <si>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</si>
  <si>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</si>
  <si>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</si>
  <si>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</si>
  <si>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</si>
  <si>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</si>
  <si>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</si>
  <si>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</si>
  <si>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</si>
  <si>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</si>
  <si>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</si>
  <si>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</si>
  <si>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</si>
  <si>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</si>
  <si>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</si>
  <si>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</si>
  <si>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</si>
  <si>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</si>
  <si>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</si>
  <si>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</si>
  <si>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</si>
  <si>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</si>
  <si>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</si>
  <si>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</si>
  <si>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</si>
  <si>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</si>
  <si>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</si>
  <si>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</si>
  <si>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</si>
  <si>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</si>
  <si>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</si>
  <si>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</si>
  <si>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</si>
  <si>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</si>
  <si>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</si>
  <si>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</si>
  <si>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</si>
  <si>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</si>
  <si>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</si>
  <si>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</si>
  <si>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</si>
  <si>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</si>
  <si>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</si>
  <si>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</si>
  <si>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</si>
  <si>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</si>
  <si>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</si>
  <si>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</si>
  <si>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</si>
  <si>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</si>
  <si>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</si>
  <si>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</si>
  <si>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</si>
  <si>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</si>
  <si>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</si>
  <si>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</si>
  <si>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</si>
  <si>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</si>
  <si>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</si>
  <si>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</si>
  <si>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</si>
  <si>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</si>
  <si>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</si>
  <si>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</si>
  <si>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</si>
  <si>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</si>
  <si>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</si>
  <si>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</si>
  <si>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</si>
  <si>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</si>
  <si>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</si>
  <si>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</si>
  <si>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</si>
  <si>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</si>
  <si>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</si>
  <si>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</si>
  <si>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</si>
  <si>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</si>
  <si>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</si>
  <si>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</si>
  <si>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</si>
  <si>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</si>
  <si>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</si>
  <si>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</si>
  <si>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</si>
  <si>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</si>
  <si>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</si>
  <si>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</si>
  <si>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</si>
  <si>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</si>
  <si>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</si>
  <si>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</si>
  <si>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</si>
  <si>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</si>
  <si>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</si>
  <si>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</si>
  <si>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</si>
  <si>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</si>
  <si>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</si>
  <si>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</si>
  <si>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</si>
  <si>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</si>
  <si>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</si>
  <si>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</si>
  <si>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</si>
  <si>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</si>
  <si>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</si>
  <si>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</si>
  <si>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</si>
  <si>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</si>
  <si>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</si>
  <si>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</si>
  <si>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</si>
  <si>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</si>
  <si>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</si>
  <si>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</si>
  <si>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</si>
  <si>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</si>
  <si>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</si>
  <si>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</si>
  <si>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</si>
  <si>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</si>
  <si>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</si>
  <si>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</si>
  <si>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</si>
  <si>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</si>
  <si>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</si>
  <si>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</si>
  <si>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</si>
  <si>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</si>
  <si>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</si>
  <si>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</si>
  <si>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</si>
  <si>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</si>
  <si>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</si>
  <si>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</si>
  <si>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</si>
  <si>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</si>
  <si>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</si>
  <si>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</si>
  <si>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</si>
  <si>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</si>
  <si>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</si>
  <si>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</si>
  <si>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</si>
  <si>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</si>
  <si>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</si>
  <si>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</si>
  <si>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</si>
  <si>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</si>
  <si>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</si>
  <si>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</si>
  <si>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</si>
  <si>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</si>
  <si>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</si>
  <si>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</si>
  <si>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</si>
  <si>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</si>
  <si>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</si>
  <si>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</si>
  <si>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</si>
  <si>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</si>
  <si>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</si>
  <si>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</si>
  <si>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</si>
  <si>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</si>
  <si>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</si>
  <si>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</si>
  <si>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</si>
  <si>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</si>
  <si>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</si>
  <si>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</si>
  <si>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</si>
  <si>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</si>
  <si>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</si>
  <si>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</si>
  <si>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</si>
  <si>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</si>
  <si>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</si>
  <si>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</si>
  <si>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</si>
  <si>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</si>
  <si>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</si>
  <si>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</si>
  <si>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</si>
  <si>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</si>
  <si>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</si>
  <si>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</si>
  <si>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</si>
  <si>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</si>
  <si>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</si>
  <si>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</si>
  <si>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</si>
  <si>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</si>
  <si>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</si>
  <si>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</si>
  <si>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</si>
  <si>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</si>
  <si>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</si>
  <si>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</si>
  <si>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</si>
  <si>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</si>
  <si>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</si>
  <si>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</si>
  <si>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</si>
  <si>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</si>
  <si>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</si>
  <si>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</si>
  <si>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</si>
  <si>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</si>
  <si>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</si>
  <si>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</si>
  <si>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</si>
  <si>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</si>
  <si>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</si>
  <si>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</si>
  <si>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</si>
  <si>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</si>
  <si>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</si>
  <si>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</si>
  <si>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</si>
  <si>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</si>
  <si>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</si>
  <si>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</si>
  <si>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</si>
  <si>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</si>
  <si>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</si>
  <si>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</si>
  <si>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</si>
  <si>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</si>
  <si>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</si>
  <si>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</si>
  <si>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</si>
  <si>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</si>
  <si>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</si>
  <si>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</si>
  <si>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</si>
  <si>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</si>
  <si>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</si>
  <si>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</si>
  <si>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</si>
  <si>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</si>
  <si>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</si>
  <si>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</si>
  <si>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</si>
  <si>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</si>
  <si>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</si>
  <si>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</si>
  <si>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</si>
  <si>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</si>
  <si>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</si>
  <si>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</si>
  <si>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</si>
  <si>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</si>
  <si>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</si>
  <si>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</si>
  <si>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</si>
  <si>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</si>
  <si>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</si>
  <si>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</si>
  <si>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</si>
  <si>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</si>
  <si>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</si>
  <si>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</si>
  <si>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</si>
  <si>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</si>
  <si>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</si>
  <si>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</si>
  <si>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</si>
  <si>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</si>
  <si>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</si>
  <si>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</si>
  <si>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</si>
  <si>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</si>
  <si>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</si>
  <si>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</si>
  <si>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</si>
  <si>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</si>
  <si>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</si>
  <si>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</si>
  <si>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</si>
  <si>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</si>
  <si>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</si>
  <si>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</si>
  <si>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</si>
  <si>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</si>
  <si>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</si>
  <si>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</si>
  <si>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</si>
  <si>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</si>
  <si>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</si>
  <si>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</si>
  <si>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</si>
  <si>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</si>
  <si>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</si>
  <si>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</si>
  <si>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</si>
  <si>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</si>
  <si>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</si>
  <si>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</si>
  <si>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</si>
  <si>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</si>
  <si>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</si>
  <si>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</si>
  <si>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</si>
  <si>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</si>
  <si>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</si>
  <si>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</si>
  <si>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</si>
  <si>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</si>
  <si>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</si>
  <si>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</si>
  <si>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</si>
  <si>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</si>
  <si>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</si>
  <si>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</si>
  <si>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</si>
  <si>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</si>
  <si>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</si>
  <si>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</si>
  <si>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</si>
  <si>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</si>
  <si>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</si>
  <si>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</si>
  <si>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</si>
  <si>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</si>
  <si>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</si>
  <si>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</si>
  <si>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</si>
  <si>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</si>
  <si>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</si>
  <si>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</si>
  <si>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</si>
  <si>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</si>
  <si>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</si>
  <si>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</si>
  <si>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</si>
  <si>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</si>
  <si>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</si>
  <si>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</si>
  <si>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</si>
  <si>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</si>
  <si>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</si>
  <si>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</si>
  <si>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</si>
  <si>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</si>
  <si>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</si>
  <si>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</si>
  <si>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</si>
  <si>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</si>
  <si>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</si>
  <si>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</si>
  <si>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</si>
  <si>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</si>
  <si>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</si>
  <si>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</si>
  <si>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</si>
  <si>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</si>
  <si>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</si>
  <si>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</si>
  <si>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</si>
  <si>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</si>
  <si>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</si>
  <si>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</si>
  <si>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</si>
  <si>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</si>
  <si>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</si>
  <si>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</si>
  <si>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</si>
  <si>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</si>
  <si>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</si>
  <si>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</si>
  <si>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</si>
  <si>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</si>
  <si>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</si>
  <si>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</si>
  <si>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</si>
  <si>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</si>
  <si>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</si>
  <si>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</si>
  <si>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</si>
  <si>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</si>
  <si>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</si>
  <si>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</si>
  <si>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</si>
  <si>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</si>
  <si>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</si>
  <si>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</si>
  <si>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</si>
  <si>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</si>
  <si>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</si>
  <si>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</si>
  <si>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</si>
  <si>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</si>
  <si>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</si>
  <si>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</si>
  <si>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</si>
  <si>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</si>
  <si>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</si>
  <si>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</si>
  <si>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</si>
  <si>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</si>
  <si>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</si>
  <si>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</si>
  <si>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</si>
  <si>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</si>
  <si>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</si>
  <si>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</si>
  <si>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</si>
  <si>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</si>
  <si>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</si>
  <si>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</si>
  <si>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</si>
  <si>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</si>
  <si>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</si>
  <si>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</si>
  <si>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</si>
  <si>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</si>
  <si>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</si>
  <si>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</si>
  <si>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</si>
  <si>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</si>
  <si>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</si>
  <si>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</si>
  <si>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</si>
  <si>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</si>
  <si>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</si>
  <si>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</si>
  <si>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</si>
  <si>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</si>
  <si>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</si>
  <si>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</si>
  <si>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</si>
  <si>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</si>
  <si>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</si>
  <si>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</si>
  <si>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</si>
  <si>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</si>
  <si>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</si>
  <si>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</si>
  <si>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</si>
  <si>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</si>
  <si>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</si>
  <si>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</si>
  <si>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</si>
  <si>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</si>
  <si>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</si>
  <si>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</si>
  <si>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</si>
  <si>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</si>
  <si>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</si>
  <si>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</si>
  <si>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</si>
  <si>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</si>
  <si>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</si>
  <si>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</si>
  <si>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</si>
  <si>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</si>
  <si>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</si>
  <si>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</si>
  <si>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</si>
  <si>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</si>
  <si>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</si>
  <si>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</si>
  <si>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</si>
  <si>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</si>
  <si>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</si>
  <si>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</si>
  <si>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</si>
  <si>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</si>
  <si>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</si>
  <si>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</si>
  <si>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</si>
  <si>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</si>
  <si>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</si>
  <si>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</si>
  <si>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</si>
  <si>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</si>
  <si>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</si>
  <si>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</si>
  <si>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</si>
  <si>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</si>
  <si>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</si>
  <si>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</si>
  <si>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</si>
  <si>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</si>
  <si>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</si>
  <si>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</si>
  <si>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</si>
  <si>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</si>
  <si>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</si>
  <si>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</si>
  <si>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</si>
  <si>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</si>
  <si>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</si>
  <si>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</si>
  <si>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</si>
  <si>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</si>
  <si>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</si>
  <si>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</si>
  <si>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</si>
  <si>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</si>
  <si>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</si>
  <si>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</si>
  <si>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</si>
  <si>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</si>
  <si>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</si>
  <si>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</si>
  <si>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</si>
  <si>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</si>
  <si>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</si>
  <si>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</si>
  <si>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</si>
  <si>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</si>
  <si>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</si>
  <si>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</si>
  <si>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</si>
  <si>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</si>
  <si>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</si>
  <si>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</si>
  <si>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</si>
  <si>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</si>
  <si>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</si>
  <si>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</si>
  <si>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</si>
  <si>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</si>
  <si>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</si>
  <si>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</si>
  <si>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</si>
  <si>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</si>
  <si>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</si>
  <si>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</si>
  <si>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</si>
  <si>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</si>
  <si>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</si>
  <si>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</si>
  <si>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</si>
  <si>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</si>
  <si>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</si>
  <si>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</si>
  <si>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</si>
  <si>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</si>
  <si>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</si>
  <si>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</si>
  <si>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</si>
  <si>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</si>
  <si>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</si>
  <si>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</si>
  <si>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</si>
  <si>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</si>
  <si>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</si>
  <si>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</si>
  <si>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</si>
  <si>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</si>
  <si>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</si>
  <si>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</si>
  <si>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</si>
  <si>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</si>
  <si>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</si>
  <si>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</si>
  <si>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</si>
  <si>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</si>
  <si>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</si>
  <si>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</si>
  <si>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</si>
  <si>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</si>
  <si>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</si>
  <si>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</si>
  <si>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</si>
  <si>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</si>
  <si>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</si>
  <si>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</si>
  <si>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</si>
  <si>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</si>
  <si>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</si>
  <si>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</si>
  <si>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</si>
  <si>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</si>
  <si>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</si>
  <si>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</si>
  <si>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</si>
  <si>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</si>
  <si>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</si>
  <si>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</si>
  <si>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</si>
  <si>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</si>
  <si>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</si>
  <si>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</si>
  <si>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</si>
  <si>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</si>
  <si>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</si>
  <si>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</si>
  <si>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</si>
  <si>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</si>
  <si>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</si>
  <si>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</si>
  <si>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</si>
  <si>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</si>
  <si>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</si>
  <si>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</si>
  <si>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</si>
  <si>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</si>
  <si>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</si>
  <si>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</si>
  <si>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</si>
  <si>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</si>
  <si>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</si>
  <si>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</si>
  <si>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</si>
  <si>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</si>
  <si>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73042</t>
  </si>
  <si>
    <t>LANAKEN</t>
  </si>
  <si>
    <t>referentietaak LNE (2017); Jaarverslag De Lijn</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</si>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</sst>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208150.86263033352</c:v>
                </c:pt>
                <c:pt idx="1">
                  <c:v>186382.69852603282</c:v>
                </c:pt>
                <c:pt idx="2">
                  <c:v>1899.9865149999998</c:v>
                </c:pt>
                <c:pt idx="3">
                  <c:v>9181.154546928019</c:v>
                </c:pt>
                <c:pt idx="4">
                  <c:v>79596.008860073227</c:v>
                </c:pt>
                <c:pt idx="5">
                  <c:v>150957.96965365633</c:v>
                </c:pt>
                <c:pt idx="6">
                  <c:v>2295.0671398350896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208150.86263033352</c:v>
                </c:pt>
                <c:pt idx="1">
                  <c:v>186382.69852603282</c:v>
                </c:pt>
                <c:pt idx="2">
                  <c:v>1899.9865149999998</c:v>
                </c:pt>
                <c:pt idx="3">
                  <c:v>9181.154546928019</c:v>
                </c:pt>
                <c:pt idx="4">
                  <c:v>79596.008860073227</c:v>
                </c:pt>
                <c:pt idx="5">
                  <c:v>150957.96965365633</c:v>
                </c:pt>
                <c:pt idx="6">
                  <c:v>2295.0671398350896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39096.658443162552</c:v>
                </c:pt>
                <c:pt idx="1">
                  <c:v>36695.693643431994</c:v>
                </c:pt>
                <c:pt idx="2">
                  <c:v>322.38264987888886</c:v>
                </c:pt>
                <c:pt idx="3">
                  <c:v>2143.9355204867788</c:v>
                </c:pt>
                <c:pt idx="4">
                  <c:v>14746.257478216981</c:v>
                </c:pt>
                <c:pt idx="5">
                  <c:v>37416.172817299273</c:v>
                </c:pt>
                <c:pt idx="6">
                  <c:v>581.24145450260073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39096.658443162552</c:v>
                </c:pt>
                <c:pt idx="1">
                  <c:v>36695.693643431994</c:v>
                </c:pt>
                <c:pt idx="2">
                  <c:v>322.38264987888886</c:v>
                </c:pt>
                <c:pt idx="3">
                  <c:v>2143.9355204867788</c:v>
                </c:pt>
                <c:pt idx="4">
                  <c:v>14746.257478216981</c:v>
                </c:pt>
                <c:pt idx="5">
                  <c:v>37416.172817299273</c:v>
                </c:pt>
                <c:pt idx="6">
                  <c:v>581.24145450260073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73042</v>
      </c>
      <c r="B6" s="392"/>
      <c r="C6" s="393"/>
    </row>
    <row r="7" spans="1:7" s="390" customFormat="1" ht="15.75" customHeight="1">
      <c r="A7" s="394" t="str">
        <f>txtMunicipality</f>
        <v>LANAKEN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0.16967628313871949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0.16967628313871949</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11022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1555.2</v>
      </c>
      <c r="C14" s="332"/>
      <c r="D14" s="332"/>
      <c r="E14" s="332"/>
      <c r="F14" s="332"/>
    </row>
    <row r="15" spans="1:6">
      <c r="A15" s="1310" t="s">
        <v>183</v>
      </c>
      <c r="B15" s="1311">
        <v>5</v>
      </c>
      <c r="C15" s="332"/>
      <c r="D15" s="332"/>
      <c r="E15" s="332"/>
      <c r="F15" s="332"/>
    </row>
    <row r="16" spans="1:6">
      <c r="A16" s="1310" t="s">
        <v>6</v>
      </c>
      <c r="B16" s="1311">
        <v>203</v>
      </c>
      <c r="C16" s="332"/>
      <c r="D16" s="332"/>
      <c r="E16" s="332"/>
      <c r="F16" s="332"/>
    </row>
    <row r="17" spans="1:6">
      <c r="A17" s="1310" t="s">
        <v>7</v>
      </c>
      <c r="B17" s="1311">
        <v>167</v>
      </c>
      <c r="C17" s="332"/>
      <c r="D17" s="332"/>
      <c r="E17" s="332"/>
      <c r="F17" s="332"/>
    </row>
    <row r="18" spans="1:6">
      <c r="A18" s="1310" t="s">
        <v>8</v>
      </c>
      <c r="B18" s="1311">
        <v>232</v>
      </c>
      <c r="C18" s="332"/>
      <c r="D18" s="332"/>
      <c r="E18" s="332"/>
      <c r="F18" s="332"/>
    </row>
    <row r="19" spans="1:6">
      <c r="A19" s="1310" t="s">
        <v>9</v>
      </c>
      <c r="B19" s="1311">
        <v>315</v>
      </c>
      <c r="C19" s="332"/>
      <c r="D19" s="332"/>
      <c r="E19" s="332"/>
      <c r="F19" s="332"/>
    </row>
    <row r="20" spans="1:6">
      <c r="A20" s="1310" t="s">
        <v>10</v>
      </c>
      <c r="B20" s="1311">
        <v>147</v>
      </c>
      <c r="C20" s="332"/>
      <c r="D20" s="332"/>
      <c r="E20" s="332"/>
      <c r="F20" s="332"/>
    </row>
    <row r="21" spans="1:6">
      <c r="A21" s="1310" t="s">
        <v>11</v>
      </c>
      <c r="B21" s="1311">
        <v>1326</v>
      </c>
      <c r="C21" s="332"/>
      <c r="D21" s="332"/>
      <c r="E21" s="332"/>
      <c r="F21" s="332"/>
    </row>
    <row r="22" spans="1:6">
      <c r="A22" s="1310" t="s">
        <v>12</v>
      </c>
      <c r="B22" s="1311">
        <v>2815</v>
      </c>
      <c r="C22" s="332"/>
      <c r="D22" s="332"/>
      <c r="E22" s="332"/>
      <c r="F22" s="332"/>
    </row>
    <row r="23" spans="1:6">
      <c r="A23" s="1310" t="s">
        <v>13</v>
      </c>
      <c r="B23" s="1311">
        <v>36</v>
      </c>
      <c r="C23" s="332"/>
      <c r="D23" s="332"/>
      <c r="E23" s="332"/>
      <c r="F23" s="332"/>
    </row>
    <row r="24" spans="1:6">
      <c r="A24" s="1310" t="s">
        <v>14</v>
      </c>
      <c r="B24" s="1311">
        <v>3</v>
      </c>
      <c r="C24" s="332"/>
      <c r="D24" s="332"/>
      <c r="E24" s="332"/>
      <c r="F24" s="332"/>
    </row>
    <row r="25" spans="1:6">
      <c r="A25" s="1310" t="s">
        <v>15</v>
      </c>
      <c r="B25" s="1311">
        <v>298</v>
      </c>
      <c r="C25" s="332"/>
      <c r="D25" s="332"/>
      <c r="E25" s="332"/>
      <c r="F25" s="332"/>
    </row>
    <row r="26" spans="1:6">
      <c r="A26" s="1310" t="s">
        <v>16</v>
      </c>
      <c r="B26" s="1311">
        <v>127</v>
      </c>
      <c r="C26" s="332"/>
      <c r="D26" s="332"/>
      <c r="E26" s="332"/>
      <c r="F26" s="332"/>
    </row>
    <row r="27" spans="1:6">
      <c r="A27" s="1310" t="s">
        <v>17</v>
      </c>
      <c r="B27" s="1311">
        <v>18</v>
      </c>
      <c r="C27" s="332"/>
      <c r="D27" s="332"/>
      <c r="E27" s="332"/>
      <c r="F27" s="332"/>
    </row>
    <row r="28" spans="1:6" s="43" customFormat="1">
      <c r="A28" s="1312" t="s">
        <v>18</v>
      </c>
      <c r="B28" s="1313">
        <v>209216</v>
      </c>
      <c r="C28" s="338"/>
      <c r="D28" s="338"/>
      <c r="E28" s="338"/>
      <c r="F28" s="338"/>
    </row>
    <row r="29" spans="1:6">
      <c r="A29" s="1312" t="s">
        <v>699</v>
      </c>
      <c r="B29" s="1313">
        <v>220</v>
      </c>
      <c r="C29" s="338"/>
      <c r="D29" s="338"/>
      <c r="E29" s="338"/>
      <c r="F29" s="338"/>
    </row>
    <row r="30" spans="1:6">
      <c r="A30" s="1305" t="s">
        <v>700</v>
      </c>
      <c r="B30" s="1314">
        <v>43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2</v>
      </c>
      <c r="D38" s="1311">
        <v>634457.15800000005</v>
      </c>
      <c r="E38" s="1311">
        <v>3</v>
      </c>
      <c r="F38" s="1311">
        <v>12488.343000000001</v>
      </c>
    </row>
    <row r="39" spans="1:6">
      <c r="A39" s="1310" t="s">
        <v>29</v>
      </c>
      <c r="B39" s="1310" t="s">
        <v>30</v>
      </c>
      <c r="C39" s="1311">
        <v>7601</v>
      </c>
      <c r="D39" s="1311">
        <v>131376796.70100001</v>
      </c>
      <c r="E39" s="1311">
        <v>11390</v>
      </c>
      <c r="F39" s="1311">
        <v>39624878.618999802</v>
      </c>
    </row>
    <row r="40" spans="1:6">
      <c r="A40" s="1310" t="s">
        <v>29</v>
      </c>
      <c r="B40" s="1310" t="s">
        <v>28</v>
      </c>
      <c r="C40" s="1311">
        <v>0</v>
      </c>
      <c r="D40" s="1311">
        <v>0</v>
      </c>
      <c r="E40" s="1311">
        <v>2</v>
      </c>
      <c r="F40" s="1311">
        <v>21253.929</v>
      </c>
    </row>
    <row r="41" spans="1:6">
      <c r="A41" s="1310" t="s">
        <v>31</v>
      </c>
      <c r="B41" s="1310" t="s">
        <v>32</v>
      </c>
      <c r="C41" s="1311">
        <v>82</v>
      </c>
      <c r="D41" s="1311">
        <v>4079656.986</v>
      </c>
      <c r="E41" s="1311">
        <v>209</v>
      </c>
      <c r="F41" s="1311">
        <v>6070099.5990000004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16</v>
      </c>
      <c r="D44" s="1311">
        <v>1196141.0390000001</v>
      </c>
      <c r="E44" s="1311">
        <v>32</v>
      </c>
      <c r="F44" s="1311">
        <v>428390.07500000001</v>
      </c>
    </row>
    <row r="45" spans="1:6">
      <c r="A45" s="1310" t="s">
        <v>31</v>
      </c>
      <c r="B45" s="1310" t="s">
        <v>36</v>
      </c>
      <c r="C45" s="1311">
        <v>6</v>
      </c>
      <c r="D45" s="1311">
        <v>268654.266</v>
      </c>
      <c r="E45" s="1311">
        <v>10</v>
      </c>
      <c r="F45" s="1311">
        <v>10847638.389</v>
      </c>
    </row>
    <row r="46" spans="1:6">
      <c r="A46" s="1310" t="s">
        <v>31</v>
      </c>
      <c r="B46" s="1310" t="s">
        <v>37</v>
      </c>
      <c r="C46" s="1311">
        <v>0</v>
      </c>
      <c r="D46" s="1311">
        <v>0</v>
      </c>
      <c r="E46" s="1311">
        <v>0</v>
      </c>
      <c r="F46" s="1311">
        <v>0</v>
      </c>
    </row>
    <row r="47" spans="1:6">
      <c r="A47" s="1310" t="s">
        <v>31</v>
      </c>
      <c r="B47" s="1310" t="s">
        <v>38</v>
      </c>
      <c r="C47" s="1311">
        <v>3</v>
      </c>
      <c r="D47" s="1311">
        <v>132402.073</v>
      </c>
      <c r="E47" s="1311">
        <v>3</v>
      </c>
      <c r="F47" s="1311">
        <v>241996.342</v>
      </c>
    </row>
    <row r="48" spans="1:6">
      <c r="A48" s="1310" t="s">
        <v>31</v>
      </c>
      <c r="B48" s="1310" t="s">
        <v>28</v>
      </c>
      <c r="C48" s="1311">
        <v>1</v>
      </c>
      <c r="D48" s="1311">
        <v>29267923</v>
      </c>
      <c r="E48" s="1311">
        <v>2</v>
      </c>
      <c r="F48" s="1311">
        <v>19371269</v>
      </c>
    </row>
    <row r="49" spans="1:6">
      <c r="A49" s="1310" t="s">
        <v>31</v>
      </c>
      <c r="B49" s="1310" t="s">
        <v>39</v>
      </c>
      <c r="C49" s="1311">
        <v>7</v>
      </c>
      <c r="D49" s="1311">
        <v>741146.946</v>
      </c>
      <c r="E49" s="1311">
        <v>9</v>
      </c>
      <c r="F49" s="1311">
        <v>177243.51300000001</v>
      </c>
    </row>
    <row r="50" spans="1:6">
      <c r="A50" s="1310" t="s">
        <v>31</v>
      </c>
      <c r="B50" s="1310" t="s">
        <v>40</v>
      </c>
      <c r="C50" s="1311">
        <v>8</v>
      </c>
      <c r="D50" s="1311">
        <v>675598.07900000003</v>
      </c>
      <c r="E50" s="1311">
        <v>16</v>
      </c>
      <c r="F50" s="1311">
        <v>806454.21</v>
      </c>
    </row>
    <row r="51" spans="1:6">
      <c r="A51" s="1310" t="s">
        <v>41</v>
      </c>
      <c r="B51" s="1310" t="s">
        <v>42</v>
      </c>
      <c r="C51" s="1311">
        <v>15</v>
      </c>
      <c r="D51" s="1311">
        <v>3530657.1039999998</v>
      </c>
      <c r="E51" s="1311">
        <v>56</v>
      </c>
      <c r="F51" s="1311">
        <v>1318822.1780000001</v>
      </c>
    </row>
    <row r="52" spans="1:6">
      <c r="A52" s="1310" t="s">
        <v>41</v>
      </c>
      <c r="B52" s="1310" t="s">
        <v>28</v>
      </c>
      <c r="C52" s="1311">
        <v>0</v>
      </c>
      <c r="D52" s="1311">
        <v>0</v>
      </c>
      <c r="E52" s="1311">
        <v>0</v>
      </c>
      <c r="F52" s="1311">
        <v>0</v>
      </c>
    </row>
    <row r="53" spans="1:6">
      <c r="A53" s="1310" t="s">
        <v>43</v>
      </c>
      <c r="B53" s="1310" t="s">
        <v>44</v>
      </c>
      <c r="C53" s="1311">
        <v>90</v>
      </c>
      <c r="D53" s="1311">
        <v>3068942.8709999998</v>
      </c>
      <c r="E53" s="1311">
        <v>311</v>
      </c>
      <c r="F53" s="1311">
        <v>2137584.2590000001</v>
      </c>
    </row>
    <row r="54" spans="1:6">
      <c r="A54" s="1310" t="s">
        <v>45</v>
      </c>
      <c r="B54" s="1310" t="s">
        <v>46</v>
      </c>
      <c r="C54" s="1311">
        <v>0</v>
      </c>
      <c r="D54" s="1311">
        <v>0</v>
      </c>
      <c r="E54" s="1311">
        <v>3</v>
      </c>
      <c r="F54" s="1311">
        <v>1899986.5149999999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60</v>
      </c>
      <c r="D57" s="1311">
        <v>2138750.4959999998</v>
      </c>
      <c r="E57" s="1311">
        <v>117</v>
      </c>
      <c r="F57" s="1311">
        <v>3782767.145</v>
      </c>
    </row>
    <row r="58" spans="1:6">
      <c r="A58" s="1310" t="s">
        <v>48</v>
      </c>
      <c r="B58" s="1310" t="s">
        <v>50</v>
      </c>
      <c r="C58" s="1311">
        <v>43</v>
      </c>
      <c r="D58" s="1311">
        <v>15265831.145</v>
      </c>
      <c r="E58" s="1311">
        <v>56</v>
      </c>
      <c r="F58" s="1311">
        <v>5916218.8159999996</v>
      </c>
    </row>
    <row r="59" spans="1:6">
      <c r="A59" s="1310" t="s">
        <v>48</v>
      </c>
      <c r="B59" s="1310" t="s">
        <v>51</v>
      </c>
      <c r="C59" s="1311">
        <v>150</v>
      </c>
      <c r="D59" s="1311">
        <v>127743253.85699999</v>
      </c>
      <c r="E59" s="1311">
        <v>259</v>
      </c>
      <c r="F59" s="1311">
        <v>7572540.3159999996</v>
      </c>
    </row>
    <row r="60" spans="1:6">
      <c r="A60" s="1310" t="s">
        <v>48</v>
      </c>
      <c r="B60" s="1310" t="s">
        <v>52</v>
      </c>
      <c r="C60" s="1311">
        <v>91</v>
      </c>
      <c r="D60" s="1311">
        <v>9456733.8629999999</v>
      </c>
      <c r="E60" s="1311">
        <v>110</v>
      </c>
      <c r="F60" s="1311">
        <v>5396192.5140000004</v>
      </c>
    </row>
    <row r="61" spans="1:6">
      <c r="A61" s="1310" t="s">
        <v>48</v>
      </c>
      <c r="B61" s="1310" t="s">
        <v>53</v>
      </c>
      <c r="C61" s="1311">
        <v>246</v>
      </c>
      <c r="D61" s="1311">
        <v>10154338.302999999</v>
      </c>
      <c r="E61" s="1311">
        <v>474</v>
      </c>
      <c r="F61" s="1311">
        <v>5774479.8710000003</v>
      </c>
    </row>
    <row r="62" spans="1:6">
      <c r="A62" s="1310" t="s">
        <v>48</v>
      </c>
      <c r="B62" s="1310" t="s">
        <v>54</v>
      </c>
      <c r="C62" s="1311">
        <v>16</v>
      </c>
      <c r="D62" s="1311">
        <v>2050035.9820000001</v>
      </c>
      <c r="E62" s="1311">
        <v>25</v>
      </c>
      <c r="F62" s="1311">
        <v>903601.65700000001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20</v>
      </c>
      <c r="F66" s="1311">
        <v>371324.10700000002</v>
      </c>
    </row>
    <row r="67" spans="1:6">
      <c r="A67" s="1312" t="s">
        <v>55</v>
      </c>
      <c r="B67" s="1312" t="s">
        <v>58</v>
      </c>
      <c r="C67" s="1311">
        <v>0</v>
      </c>
      <c r="D67" s="1311">
        <v>0</v>
      </c>
      <c r="E67" s="1311">
        <v>0</v>
      </c>
      <c r="F67" s="1311">
        <v>0</v>
      </c>
    </row>
    <row r="68" spans="1:6">
      <c r="A68" s="1305" t="s">
        <v>55</v>
      </c>
      <c r="B68" s="1305" t="s">
        <v>59</v>
      </c>
      <c r="C68" s="1314">
        <v>10</v>
      </c>
      <c r="D68" s="1314">
        <v>1138747.3540000001</v>
      </c>
      <c r="E68" s="1314">
        <v>22</v>
      </c>
      <c r="F68" s="1314">
        <v>895149.79500000004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145585184</v>
      </c>
      <c r="E73" s="453"/>
      <c r="F73" s="332"/>
    </row>
    <row r="74" spans="1:6">
      <c r="A74" s="1310" t="s">
        <v>63</v>
      </c>
      <c r="B74" s="1310" t="s">
        <v>648</v>
      </c>
      <c r="C74" s="1324" t="s">
        <v>650</v>
      </c>
      <c r="D74" s="1325">
        <v>8888305.0582974013</v>
      </c>
      <c r="E74" s="453"/>
      <c r="F74" s="332"/>
    </row>
    <row r="75" spans="1:6">
      <c r="A75" s="1310" t="s">
        <v>64</v>
      </c>
      <c r="B75" s="1310" t="s">
        <v>647</v>
      </c>
      <c r="C75" s="1324" t="s">
        <v>651</v>
      </c>
      <c r="D75" s="1325">
        <v>38227285</v>
      </c>
      <c r="E75" s="453"/>
      <c r="F75" s="332"/>
    </row>
    <row r="76" spans="1:6">
      <c r="A76" s="1310" t="s">
        <v>64</v>
      </c>
      <c r="B76" s="1310" t="s">
        <v>648</v>
      </c>
      <c r="C76" s="1324" t="s">
        <v>652</v>
      </c>
      <c r="D76" s="1325">
        <v>511849.058297401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636595.88340519799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14920.580905040682</v>
      </c>
      <c r="C90" s="332"/>
      <c r="D90" s="332"/>
      <c r="E90" s="332"/>
      <c r="F90" s="332"/>
    </row>
    <row r="91" spans="1:6">
      <c r="A91" s="1310" t="s">
        <v>67</v>
      </c>
      <c r="B91" s="1311">
        <v>8508.0576531332736</v>
      </c>
      <c r="C91" s="332"/>
      <c r="D91" s="332"/>
      <c r="E91" s="332"/>
      <c r="F91" s="332"/>
    </row>
    <row r="92" spans="1:6">
      <c r="A92" s="1305" t="s">
        <v>68</v>
      </c>
      <c r="B92" s="1306">
        <v>4661.5562756871195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3561</v>
      </c>
      <c r="C97" s="332"/>
      <c r="D97" s="332"/>
      <c r="E97" s="332"/>
      <c r="F97" s="332"/>
    </row>
    <row r="98" spans="1:6">
      <c r="A98" s="1310" t="s">
        <v>71</v>
      </c>
      <c r="B98" s="1311">
        <v>4</v>
      </c>
      <c r="C98" s="332"/>
      <c r="D98" s="332"/>
      <c r="E98" s="332"/>
      <c r="F98" s="332"/>
    </row>
    <row r="99" spans="1:6">
      <c r="A99" s="1310" t="s">
        <v>72</v>
      </c>
      <c r="B99" s="1311">
        <v>44</v>
      </c>
      <c r="C99" s="332"/>
      <c r="D99" s="332"/>
      <c r="E99" s="332"/>
      <c r="F99" s="332"/>
    </row>
    <row r="100" spans="1:6">
      <c r="A100" s="1310" t="s">
        <v>73</v>
      </c>
      <c r="B100" s="1311">
        <v>445</v>
      </c>
      <c r="C100" s="332"/>
      <c r="D100" s="332"/>
      <c r="E100" s="332"/>
      <c r="F100" s="332"/>
    </row>
    <row r="101" spans="1:6">
      <c r="A101" s="1310" t="s">
        <v>74</v>
      </c>
      <c r="B101" s="1311">
        <v>43</v>
      </c>
      <c r="C101" s="332"/>
      <c r="D101" s="332"/>
      <c r="E101" s="332"/>
      <c r="F101" s="332"/>
    </row>
    <row r="102" spans="1:6">
      <c r="A102" s="1310" t="s">
        <v>75</v>
      </c>
      <c r="B102" s="1311">
        <v>124</v>
      </c>
      <c r="C102" s="332"/>
      <c r="D102" s="332"/>
      <c r="E102" s="332"/>
      <c r="F102" s="332"/>
    </row>
    <row r="103" spans="1:6">
      <c r="A103" s="1310" t="s">
        <v>76</v>
      </c>
      <c r="B103" s="1311">
        <v>173</v>
      </c>
      <c r="C103" s="332"/>
      <c r="D103" s="332"/>
      <c r="E103" s="332"/>
      <c r="F103" s="332"/>
    </row>
    <row r="104" spans="1:6">
      <c r="A104" s="1310" t="s">
        <v>77</v>
      </c>
      <c r="B104" s="1311">
        <v>4601</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23</v>
      </c>
      <c r="C123" s="1311">
        <v>24</v>
      </c>
      <c r="D123" s="332"/>
      <c r="E123" s="332"/>
      <c r="F123" s="332"/>
    </row>
    <row r="124" spans="1:6" s="43" customFormat="1">
      <c r="A124" s="1312" t="s">
        <v>88</v>
      </c>
      <c r="B124" s="1333">
        <v>1</v>
      </c>
      <c r="C124" s="1333">
        <v>1</v>
      </c>
      <c r="D124" s="338"/>
      <c r="E124" s="338"/>
      <c r="F124" s="338"/>
    </row>
    <row r="125" spans="1:6">
      <c r="A125" s="1305" t="s">
        <v>851</v>
      </c>
      <c r="B125" s="1333">
        <v>3</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247</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35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120948.39234569302</v>
      </c>
      <c r="C3" s="43" t="s">
        <v>169</v>
      </c>
      <c r="D3" s="43"/>
      <c r="E3" s="154"/>
      <c r="F3" s="43"/>
      <c r="G3" s="43"/>
      <c r="H3" s="43"/>
      <c r="I3" s="43"/>
      <c r="J3" s="43"/>
      <c r="K3" s="96"/>
    </row>
    <row r="4" spans="1:11">
      <c r="A4" s="360" t="s">
        <v>170</v>
      </c>
      <c r="B4" s="49">
        <f>IF(ISERROR('SEAP template'!B78+'SEAP template'!C78),0,'SEAP template'!B78+'SEAP template'!C78)</f>
        <v>28114.944833861075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5.8817647058823539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0.16967628313871949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8.4025210084033635</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35.357142857142861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1899.9865149999998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1899.9865149999998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0.16967628313871949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322.38264987888886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39646.132547999798</v>
      </c>
      <c r="C5" s="17">
        <f>IF(ISERROR('Eigen informatie GS &amp; warmtenet'!B59),0,'Eigen informatie GS &amp; warmtenet'!B59)</f>
        <v>0</v>
      </c>
      <c r="D5" s="30">
        <f>(SUM(HH_hh_gas_kWh,HH_rest_gas_kWh)/1000)*0.903</f>
        <v>118633.24742100302</v>
      </c>
      <c r="E5" s="17">
        <f>B46*B57</f>
        <v>7129.1823696283154</v>
      </c>
      <c r="F5" s="17">
        <f>B51*B62</f>
        <v>20014.209945060324</v>
      </c>
      <c r="G5" s="18"/>
      <c r="H5" s="17"/>
      <c r="I5" s="17"/>
      <c r="J5" s="17">
        <f>B50*B61+C50*C61</f>
        <v>0</v>
      </c>
      <c r="K5" s="17"/>
      <c r="L5" s="17"/>
      <c r="M5" s="17"/>
      <c r="N5" s="17">
        <f>B48*B59+C48*C59</f>
        <v>13058.892458682129</v>
      </c>
      <c r="O5" s="17">
        <f>B69*B70*B71</f>
        <v>539.63663567327274</v>
      </c>
      <c r="P5" s="17">
        <f>B77*B78*B79/1000-B77*B78*B79/1000/B80</f>
        <v>621.50359915341642</v>
      </c>
    </row>
    <row r="6" spans="1:16">
      <c r="A6" s="16" t="s">
        <v>612</v>
      </c>
      <c r="B6" s="786">
        <f>kWh_PV_kleiner_dan_10kW</f>
        <v>8508.0576531332736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48154.190201133068</v>
      </c>
      <c r="C8" s="21">
        <f>C5</f>
        <v>0</v>
      </c>
      <c r="D8" s="21">
        <f>D5</f>
        <v>118633.24742100302</v>
      </c>
      <c r="E8" s="21">
        <f>E5</f>
        <v>7129.1823696283154</v>
      </c>
      <c r="F8" s="21">
        <f>F5</f>
        <v>20014.209945060324</v>
      </c>
      <c r="G8" s="21"/>
      <c r="H8" s="21"/>
      <c r="I8" s="21"/>
      <c r="J8" s="21">
        <f>J5</f>
        <v>0</v>
      </c>
      <c r="K8" s="21"/>
      <c r="L8" s="21">
        <f>L5</f>
        <v>0</v>
      </c>
      <c r="M8" s="21">
        <f>M5</f>
        <v>0</v>
      </c>
      <c r="N8" s="21">
        <f>N5</f>
        <v>13058.892458682129</v>
      </c>
      <c r="O8" s="21">
        <f>O5</f>
        <v>539.63663567327274</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0.16967628313871949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8170.6240108832062</v>
      </c>
      <c r="C12" s="23">
        <f ca="1">C10*C8</f>
        <v>0</v>
      </c>
      <c r="D12" s="23">
        <f>D8*D10</f>
        <v>23963.915979042613</v>
      </c>
      <c r="E12" s="23">
        <f>E10*E8</f>
        <v>1618.3243979056276</v>
      </c>
      <c r="F12" s="23">
        <f>F10*F8</f>
        <v>5343.7940553311064</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3561</v>
      </c>
      <c r="C18" s="166" t="s">
        <v>110</v>
      </c>
      <c r="D18" s="228"/>
      <c r="E18" s="15"/>
    </row>
    <row r="19" spans="1:7">
      <c r="A19" s="171" t="s">
        <v>71</v>
      </c>
      <c r="B19" s="37">
        <f>aantalw2001_ander</f>
        <v>4</v>
      </c>
      <c r="C19" s="166" t="s">
        <v>110</v>
      </c>
      <c r="D19" s="229"/>
      <c r="E19" s="15"/>
    </row>
    <row r="20" spans="1:7">
      <c r="A20" s="171" t="s">
        <v>72</v>
      </c>
      <c r="B20" s="37">
        <f>aantalw2001_propaan</f>
        <v>44</v>
      </c>
      <c r="C20" s="167">
        <f>IF(ISERROR(B20/SUM($B$20,$B$21,$B$22)*100),0,B20/SUM($B$20,$B$21,$B$22)*100)</f>
        <v>8.2706766917293226</v>
      </c>
      <c r="D20" s="229"/>
      <c r="E20" s="15"/>
    </row>
    <row r="21" spans="1:7">
      <c r="A21" s="171" t="s">
        <v>73</v>
      </c>
      <c r="B21" s="37">
        <f>aantalw2001_elektriciteit</f>
        <v>445</v>
      </c>
      <c r="C21" s="167">
        <f>IF(ISERROR(B21/SUM($B$20,$B$21,$B$22)*100),0,B21/SUM($B$20,$B$21,$B$22)*100)</f>
        <v>83.646616541353382</v>
      </c>
      <c r="D21" s="229"/>
      <c r="E21" s="15"/>
    </row>
    <row r="22" spans="1:7">
      <c r="A22" s="171" t="s">
        <v>74</v>
      </c>
      <c r="B22" s="37">
        <f>aantalw2001_hout</f>
        <v>43</v>
      </c>
      <c r="C22" s="167">
        <f>IF(ISERROR(B22/SUM($B$20,$B$21,$B$22)*100),0,B22/SUM($B$20,$B$21,$B$22)*100)</f>
        <v>8.0827067669172923</v>
      </c>
      <c r="D22" s="229"/>
      <c r="E22" s="15"/>
    </row>
    <row r="23" spans="1:7">
      <c r="A23" s="171" t="s">
        <v>75</v>
      </c>
      <c r="B23" s="37">
        <f>aantalw2001_niet_gespec</f>
        <v>124</v>
      </c>
      <c r="C23" s="166" t="s">
        <v>110</v>
      </c>
      <c r="D23" s="228"/>
      <c r="E23" s="15"/>
    </row>
    <row r="24" spans="1:7">
      <c r="A24" s="171" t="s">
        <v>76</v>
      </c>
      <c r="B24" s="37">
        <f>aantalw2001_steenkool</f>
        <v>173</v>
      </c>
      <c r="C24" s="166" t="s">
        <v>110</v>
      </c>
      <c r="D24" s="229"/>
      <c r="E24" s="15"/>
    </row>
    <row r="25" spans="1:7">
      <c r="A25" s="171" t="s">
        <v>77</v>
      </c>
      <c r="B25" s="37">
        <f>aantalw2001_stookolie</f>
        <v>4601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11022</v>
      </c>
      <c r="C28" s="36"/>
      <c r="D28" s="228"/>
    </row>
    <row r="29" spans="1:7" s="15" customFormat="1">
      <c r="A29" s="230" t="s">
        <v>839</v>
      </c>
      <c r="B29" s="37">
        <f>SUM(HH_hh_gas_aantal,HH_rest_gas_aantal)</f>
        <v>7601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7601</v>
      </c>
      <c r="C32" s="167">
        <f>IF(ISERROR(B32/SUM($B$32,$B$34,$B$35,$B$36,$B$38,$B$39)*100),0,B32/SUM($B$32,$B$34,$B$35,$B$36,$B$38,$B$39)*100)</f>
        <v>69.333211712122591</v>
      </c>
      <c r="D32" s="233"/>
      <c r="G32" s="15"/>
    </row>
    <row r="33" spans="1:7">
      <c r="A33" s="171" t="s">
        <v>71</v>
      </c>
      <c r="B33" s="34" t="s">
        <v>110</v>
      </c>
      <c r="C33" s="167"/>
      <c r="D33" s="233"/>
      <c r="G33" s="15"/>
    </row>
    <row r="34" spans="1:7">
      <c r="A34" s="171" t="s">
        <v>72</v>
      </c>
      <c r="B34" s="33">
        <f>IF((($B$28-$B$32-$B$39-$B$77-$B$38)*C20/100)&lt;0,0,($B$28-$B$32-$B$39-$B$77-$B$38)*C20/100)</f>
        <v>198.24812030075188</v>
      </c>
      <c r="C34" s="167">
        <f>IF(ISERROR(B34/SUM($B$32,$B$34,$B$35,$B$36,$B$38,$B$39)*100),0,B34/SUM($B$32,$B$34,$B$35,$B$36,$B$38,$B$39)*100)</f>
        <v>1.8083382313304013</v>
      </c>
      <c r="D34" s="233"/>
      <c r="G34" s="15"/>
    </row>
    <row r="35" spans="1:7">
      <c r="A35" s="171" t="s">
        <v>73</v>
      </c>
      <c r="B35" s="33">
        <f>IF((($B$28-$B$32-$B$39-$B$77-$B$38)*C21/100)&lt;0,0,($B$28-$B$32-$B$39-$B$77-$B$38)*C21/100)</f>
        <v>2005.0093984962407</v>
      </c>
      <c r="C35" s="167">
        <f>IF(ISERROR(B35/SUM($B$32,$B$34,$B$35,$B$36,$B$38,$B$39)*100),0,B35/SUM($B$32,$B$34,$B$35,$B$36,$B$38,$B$39)*100)</f>
        <v>18.288875294137014</v>
      </c>
      <c r="D35" s="233"/>
      <c r="G35" s="15"/>
    </row>
    <row r="36" spans="1:7">
      <c r="A36" s="171" t="s">
        <v>74</v>
      </c>
      <c r="B36" s="33">
        <f>IF((($B$28-$B$32-$B$39-$B$77-$B$38)*C22/100)&lt;0,0,($B$28-$B$32-$B$39-$B$77-$B$38)*C22/100)</f>
        <v>193.74248120300749</v>
      </c>
      <c r="C36" s="167">
        <f>IF(ISERROR(B36/SUM($B$32,$B$34,$B$35,$B$36,$B$38,$B$39)*100),0,B36/SUM($B$32,$B$34,$B$35,$B$36,$B$38,$B$39)*100)</f>
        <v>1.7672396351638007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965</v>
      </c>
      <c r="C39" s="167">
        <f>IF(ISERROR(B39/SUM($B$32,$B$34,$B$35,$B$36,$B$38,$B$39)*100),0,B39/SUM($B$32,$B$34,$B$35,$B$36,$B$38,$B$39)*100)</f>
        <v>8.8023351272461916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7601</v>
      </c>
      <c r="C44" s="34" t="s">
        <v>110</v>
      </c>
      <c r="D44" s="174"/>
    </row>
    <row r="45" spans="1:7">
      <c r="A45" s="171" t="s">
        <v>71</v>
      </c>
      <c r="B45" s="33" t="str">
        <f t="shared" si="0"/>
        <v>-</v>
      </c>
      <c r="C45" s="34" t="s">
        <v>110</v>
      </c>
      <c r="D45" s="174"/>
    </row>
    <row r="46" spans="1:7">
      <c r="A46" s="171" t="s">
        <v>72</v>
      </c>
      <c r="B46" s="33">
        <f t="shared" si="0"/>
        <v>198.24812030075188</v>
      </c>
      <c r="C46" s="34" t="s">
        <v>110</v>
      </c>
      <c r="D46" s="174"/>
    </row>
    <row r="47" spans="1:7">
      <c r="A47" s="171" t="s">
        <v>73</v>
      </c>
      <c r="B47" s="33">
        <f t="shared" si="0"/>
        <v>2005.0093984962407</v>
      </c>
      <c r="C47" s="34" t="s">
        <v>110</v>
      </c>
      <c r="D47" s="174"/>
    </row>
    <row r="48" spans="1:7">
      <c r="A48" s="171" t="s">
        <v>74</v>
      </c>
      <c r="B48" s="33">
        <f t="shared" si="0"/>
        <v>193.74248120300749</v>
      </c>
      <c r="C48" s="33">
        <f>B48*10</f>
        <v>1937.4248120300749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965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272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29345.800319000002</v>
      </c>
      <c r="C5" s="17">
        <f>IF(ISERROR('Eigen informatie GS &amp; warmtenet'!B60),0,'Eigen informatie GS &amp; warmtenet'!B60)</f>
        <v>0</v>
      </c>
      <c r="D5" s="30">
        <f>SUM(D6:D12)</f>
        <v>150628.47611233799</v>
      </c>
      <c r="E5" s="17">
        <f>SUM(E6:E12)</f>
        <v>82.174343689944124</v>
      </c>
      <c r="F5" s="17">
        <f>SUM(F6:F12)</f>
        <v>4765.8075687448554</v>
      </c>
      <c r="G5" s="18"/>
      <c r="H5" s="17"/>
      <c r="I5" s="17"/>
      <c r="J5" s="17">
        <f>SUM(J6:J12)</f>
        <v>3.7357927831103435E-2</v>
      </c>
      <c r="K5" s="17"/>
      <c r="L5" s="17"/>
      <c r="M5" s="17"/>
      <c r="N5" s="17">
        <f>SUM(N6:N12)</f>
        <v>1403.5980307382083</v>
      </c>
      <c r="O5" s="17">
        <f>B38*B39*B40</f>
        <v>9.7945215316823084</v>
      </c>
      <c r="P5" s="17">
        <f>B46*B47*B48/1000-B46*B47*B48/1000/B49</f>
        <v>157.61741491948504</v>
      </c>
      <c r="R5" s="32"/>
    </row>
    <row r="6" spans="1:18">
      <c r="A6" s="32" t="s">
        <v>53</v>
      </c>
      <c r="B6" s="37">
        <f>B26</f>
        <v>5774.4798710000005</v>
      </c>
      <c r="C6" s="33"/>
      <c r="D6" s="37">
        <f>IF(ISERROR(TER_kantoor_gas_kWh/1000),0,TER_kantoor_gas_kWh/1000)*0.903</f>
        <v>9169.367487608999</v>
      </c>
      <c r="E6" s="33">
        <f>$C$26*'E Balans VL '!I12/100/3.6*1000000</f>
        <v>1.383428119904933</v>
      </c>
      <c r="F6" s="33">
        <f>$C$26*('E Balans VL '!L12+'E Balans VL '!N12)/100/3.6*1000000</f>
        <v>547.58714385913743</v>
      </c>
      <c r="G6" s="34"/>
      <c r="H6" s="33"/>
      <c r="I6" s="33"/>
      <c r="J6" s="33">
        <f>$C$26*('E Balans VL '!D12+'E Balans VL '!E12)/100/3.6*1000000</f>
        <v>0</v>
      </c>
      <c r="K6" s="33"/>
      <c r="L6" s="33"/>
      <c r="M6" s="33"/>
      <c r="N6" s="33">
        <f>$C$26*'E Balans VL '!Y12/100/3.6*1000000</f>
        <v>2.9331370970276023</v>
      </c>
      <c r="O6" s="33"/>
      <c r="P6" s="33"/>
      <c r="R6" s="32"/>
    </row>
    <row r="7" spans="1:18">
      <c r="A7" s="32" t="s">
        <v>52</v>
      </c>
      <c r="B7" s="37">
        <f t="shared" ref="B7:B12" si="0">B27</f>
        <v>5396.1925140000003</v>
      </c>
      <c r="C7" s="33"/>
      <c r="D7" s="37">
        <f>IF(ISERROR(TER_horeca_gas_kWh/1000),0,TER_horeca_gas_kWh/1000)*0.903</f>
        <v>8539.4306782889998</v>
      </c>
      <c r="E7" s="33">
        <f>$C$27*'E Balans VL '!I9/100/3.6*1000000</f>
        <v>0</v>
      </c>
      <c r="F7" s="33">
        <f>$C$27*('E Balans VL '!L9+'E Balans VL '!N9)/100/3.6*1000000</f>
        <v>442.47510137600545</v>
      </c>
      <c r="G7" s="34"/>
      <c r="H7" s="33"/>
      <c r="I7" s="33"/>
      <c r="J7" s="33">
        <f>$C$27*('E Balans VL '!D9+'E Balans VL '!E9)/100/3.6*1000000</f>
        <v>0</v>
      </c>
      <c r="K7" s="33"/>
      <c r="L7" s="33"/>
      <c r="M7" s="33"/>
      <c r="N7" s="33">
        <f>$C$27*'E Balans VL '!Y9/100/3.6*1000000</f>
        <v>1.6541498086572424</v>
      </c>
      <c r="O7" s="33"/>
      <c r="P7" s="33"/>
      <c r="R7" s="32"/>
    </row>
    <row r="8" spans="1:18">
      <c r="A8" s="6" t="s">
        <v>51</v>
      </c>
      <c r="B8" s="37">
        <f t="shared" si="0"/>
        <v>7572.5403159999996</v>
      </c>
      <c r="C8" s="33"/>
      <c r="D8" s="37">
        <f>IF(ISERROR(TER_handel_gas_kWh/1000),0,TER_handel_gas_kWh/1000)*0.903</f>
        <v>115352.15823287099</v>
      </c>
      <c r="E8" s="33">
        <f>$C$28*'E Balans VL '!I13/100/3.6*1000000</f>
        <v>26.613340415337667</v>
      </c>
      <c r="F8" s="33">
        <f>$C$28*('E Balans VL '!L13+'E Balans VL '!N13)/100/3.6*1000000</f>
        <v>692.87383990073897</v>
      </c>
      <c r="G8" s="34"/>
      <c r="H8" s="33"/>
      <c r="I8" s="33"/>
      <c r="J8" s="33">
        <f>$C$28*('E Balans VL '!D13+'E Balans VL '!E13)/100/3.6*1000000</f>
        <v>0</v>
      </c>
      <c r="K8" s="33"/>
      <c r="L8" s="33"/>
      <c r="M8" s="33"/>
      <c r="N8" s="33">
        <f>$C$28*'E Balans VL '!Y13/100/3.6*1000000</f>
        <v>2.7424480923937882</v>
      </c>
      <c r="O8" s="33"/>
      <c r="P8" s="33"/>
      <c r="R8" s="32"/>
    </row>
    <row r="9" spans="1:18">
      <c r="A9" s="32" t="s">
        <v>50</v>
      </c>
      <c r="B9" s="37">
        <f t="shared" si="0"/>
        <v>5916.2188159999996</v>
      </c>
      <c r="C9" s="33"/>
      <c r="D9" s="37">
        <f>IF(ISERROR(TER_gezond_gas_kWh/1000),0,TER_gezond_gas_kWh/1000)*0.903</f>
        <v>13785.045523935001</v>
      </c>
      <c r="E9" s="33">
        <f>$C$29*'E Balans VL '!I10/100/3.6*1000000</f>
        <v>0</v>
      </c>
      <c r="F9" s="33">
        <f>$C$29*('E Balans VL '!L10+'E Balans VL '!N10)/100/3.6*1000000</f>
        <v>725.21978762146989</v>
      </c>
      <c r="G9" s="34"/>
      <c r="H9" s="33"/>
      <c r="I9" s="33"/>
      <c r="J9" s="33">
        <f>$C$29*('E Balans VL '!D10+'E Balans VL '!E10)/100/3.6*1000000</f>
        <v>0</v>
      </c>
      <c r="K9" s="33"/>
      <c r="L9" s="33"/>
      <c r="M9" s="33"/>
      <c r="N9" s="33">
        <f>$C$29*'E Balans VL '!Y10/100/3.6*1000000</f>
        <v>43.627991022311214</v>
      </c>
      <c r="O9" s="33"/>
      <c r="P9" s="33"/>
      <c r="R9" s="32"/>
    </row>
    <row r="10" spans="1:18">
      <c r="A10" s="32" t="s">
        <v>49</v>
      </c>
      <c r="B10" s="37">
        <f t="shared" si="0"/>
        <v>3782.7671449999998</v>
      </c>
      <c r="C10" s="33"/>
      <c r="D10" s="37">
        <f>IF(ISERROR(TER_ander_gas_kWh/1000),0,TER_ander_gas_kWh/1000)*0.903</f>
        <v>1931.2916978879998</v>
      </c>
      <c r="E10" s="33">
        <f>$C$30*'E Balans VL '!I14/100/3.6*1000000</f>
        <v>54.177575154701529</v>
      </c>
      <c r="F10" s="33">
        <f>$C$30*('E Balans VL '!L14+'E Balans VL '!N14)/100/3.6*1000000</f>
        <v>2252.0099018226756</v>
      </c>
      <c r="G10" s="34"/>
      <c r="H10" s="33"/>
      <c r="I10" s="33"/>
      <c r="J10" s="33">
        <f>$C$30*('E Balans VL '!D14+'E Balans VL '!E14)/100/3.6*1000000</f>
        <v>3.7357927831103435E-2</v>
      </c>
      <c r="K10" s="33"/>
      <c r="L10" s="33"/>
      <c r="M10" s="33"/>
      <c r="N10" s="33">
        <f>$C$30*'E Balans VL '!Y14/100/3.6*1000000</f>
        <v>1350.0958662133846</v>
      </c>
      <c r="O10" s="33"/>
      <c r="P10" s="33"/>
      <c r="R10" s="32"/>
    </row>
    <row r="11" spans="1:18">
      <c r="A11" s="32" t="s">
        <v>54</v>
      </c>
      <c r="B11" s="37">
        <f t="shared" si="0"/>
        <v>903.60165700000005</v>
      </c>
      <c r="C11" s="33"/>
      <c r="D11" s="37">
        <f>IF(ISERROR(TER_onderwijs_gas_kWh/1000),0,TER_onderwijs_gas_kWh/1000)*0.903</f>
        <v>1851.1824917459999</v>
      </c>
      <c r="E11" s="33">
        <f>$C$31*'E Balans VL '!I11/100/3.6*1000000</f>
        <v>0</v>
      </c>
      <c r="F11" s="33">
        <f>$C$31*('E Balans VL '!L11+'E Balans VL '!N11)/100/3.6*1000000</f>
        <v>105.64179416482779</v>
      </c>
      <c r="G11" s="34"/>
      <c r="H11" s="33"/>
      <c r="I11" s="33"/>
      <c r="J11" s="33">
        <f>$C$31*('E Balans VL '!D11+'E Balans VL '!E11)/100/3.6*1000000</f>
        <v>0</v>
      </c>
      <c r="K11" s="33"/>
      <c r="L11" s="33"/>
      <c r="M11" s="33"/>
      <c r="N11" s="33">
        <f>$C$31*'E Balans VL '!Y11/100/3.6*1000000</f>
        <v>2.5444385044337814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24.75</v>
      </c>
      <c r="C13" s="247">
        <f ca="1">'lokale energieproductie'!O38+'lokale energieproductie'!O31</f>
        <v>35.357142857142861</v>
      </c>
      <c r="D13" s="310">
        <f ca="1">('lokale energieproductie'!P31+'lokale energieproductie'!P38)*(-1)</f>
        <v>-70.714285714285722</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29370.550319000002</v>
      </c>
      <c r="C16" s="21">
        <f t="shared" ca="1" si="1"/>
        <v>35.357142857142861</v>
      </c>
      <c r="D16" s="21">
        <f t="shared" ca="1" si="1"/>
        <v>150557.7618266237</v>
      </c>
      <c r="E16" s="21">
        <f t="shared" si="1"/>
        <v>82.174343689944124</v>
      </c>
      <c r="F16" s="21">
        <f t="shared" ca="1" si="1"/>
        <v>4765.8075687448554</v>
      </c>
      <c r="G16" s="21">
        <f t="shared" si="1"/>
        <v>0</v>
      </c>
      <c r="H16" s="21">
        <f t="shared" si="1"/>
        <v>0</v>
      </c>
      <c r="I16" s="21">
        <f t="shared" si="1"/>
        <v>0</v>
      </c>
      <c r="J16" s="21">
        <f t="shared" si="1"/>
        <v>3.7357927831103435E-2</v>
      </c>
      <c r="K16" s="21">
        <f t="shared" si="1"/>
        <v>0</v>
      </c>
      <c r="L16" s="21">
        <f t="shared" ca="1" si="1"/>
        <v>0</v>
      </c>
      <c r="M16" s="21">
        <f t="shared" si="1"/>
        <v>0</v>
      </c>
      <c r="N16" s="21">
        <f t="shared" ca="1" si="1"/>
        <v>1403.5980307382083</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0.16967628313871949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4983.4858118666525</v>
      </c>
      <c r="C20" s="23">
        <f t="shared" ref="C20:P20" ca="1" si="2">C16*C18</f>
        <v>8.4025210084033635</v>
      </c>
      <c r="D20" s="23">
        <f t="shared" ca="1" si="2"/>
        <v>30412.667888977991</v>
      </c>
      <c r="E20" s="23">
        <f t="shared" si="2"/>
        <v>18.653576017617315</v>
      </c>
      <c r="F20" s="23">
        <f t="shared" ca="1" si="2"/>
        <v>1272.4706208548764</v>
      </c>
      <c r="G20" s="23">
        <f t="shared" si="2"/>
        <v>0</v>
      </c>
      <c r="H20" s="23">
        <f t="shared" si="2"/>
        <v>0</v>
      </c>
      <c r="I20" s="23">
        <f t="shared" si="2"/>
        <v>0</v>
      </c>
      <c r="J20" s="23">
        <f t="shared" si="2"/>
        <v>1.3224706452210615E-2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5774.4798710000005</v>
      </c>
      <c r="C26" s="39">
        <f>IF(ISERROR(B26*3.6/1000000/'E Balans VL '!Z12*100),0,B26*3.6/1000000/'E Balans VL '!Z12*100)</f>
        <v>0.16285562395911471</v>
      </c>
      <c r="D26" s="237" t="s">
        <v>702</v>
      </c>
      <c r="F26" s="6"/>
    </row>
    <row r="27" spans="1:18">
      <c r="A27" s="231" t="s">
        <v>52</v>
      </c>
      <c r="B27" s="33">
        <f>IF(ISERROR(TER_horeca_ele_kWh/1000),0,TER_horeca_ele_kWh/1000)</f>
        <v>5396.1925140000003</v>
      </c>
      <c r="C27" s="39">
        <f>IF(ISERROR(B27*3.6/1000000/'E Balans VL '!Z9*100),0,B27*3.6/1000000/'E Balans VL '!Z9*100)</f>
        <v>0.40006138442979294</v>
      </c>
      <c r="D27" s="237" t="s">
        <v>702</v>
      </c>
      <c r="F27" s="6"/>
    </row>
    <row r="28" spans="1:18">
      <c r="A28" s="171" t="s">
        <v>51</v>
      </c>
      <c r="B28" s="33">
        <f>IF(ISERROR(TER_handel_ele_kWh/1000),0,TER_handel_ele_kWh/1000)</f>
        <v>7572.5403159999996</v>
      </c>
      <c r="C28" s="39">
        <f>IF(ISERROR(B28*3.6/1000000/'E Balans VL '!Z13*100),0,B28*3.6/1000000/'E Balans VL '!Z13*100)</f>
        <v>0.22685530348055052</v>
      </c>
      <c r="D28" s="237" t="s">
        <v>702</v>
      </c>
      <c r="F28" s="6"/>
    </row>
    <row r="29" spans="1:18">
      <c r="A29" s="231" t="s">
        <v>50</v>
      </c>
      <c r="B29" s="33">
        <f>IF(ISERROR(TER_gezond_ele_kWh/1000),0,TER_gezond_ele_kWh/1000)</f>
        <v>5916.2188159999996</v>
      </c>
      <c r="C29" s="39">
        <f>IF(ISERROR(B29*3.6/1000000/'E Balans VL '!Z10*100),0,B29*3.6/1000000/'E Balans VL '!Z10*100)</f>
        <v>0.58499803537687445</v>
      </c>
      <c r="D29" s="237" t="s">
        <v>702</v>
      </c>
      <c r="F29" s="6"/>
    </row>
    <row r="30" spans="1:18">
      <c r="A30" s="231" t="s">
        <v>49</v>
      </c>
      <c r="B30" s="33">
        <f>IF(ISERROR(TER_ander_ele_kWh/1000),0,TER_ander_ele_kWh/1000)</f>
        <v>3782.7671449999998</v>
      </c>
      <c r="C30" s="39">
        <f>IF(ISERROR(B30*3.6/1000000/'E Balans VL '!Z14*100),0,B30*3.6/1000000/'E Balans VL '!Z14*100)</f>
        <v>0.15300175220929732</v>
      </c>
      <c r="D30" s="237" t="s">
        <v>702</v>
      </c>
      <c r="F30" s="6"/>
    </row>
    <row r="31" spans="1:18">
      <c r="A31" s="231" t="s">
        <v>54</v>
      </c>
      <c r="B31" s="33">
        <f>IF(ISERROR(TER_onderwijs_ele_kWh/1000),0,TER_onderwijs_ele_kWh/1000)</f>
        <v>903.60165700000005</v>
      </c>
      <c r="C31" s="39">
        <f>IF(ISERROR(B31*3.6/1000000/'E Balans VL '!Z11*100),0,B31*3.6/1000000/'E Balans VL '!Z11*100)</f>
        <v>0.24825889386749264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37943.091128</v>
      </c>
      <c r="C5" s="17">
        <f>IF(ISERROR('Eigen informatie GS &amp; warmtenet'!B61),0,'Eigen informatie GS &amp; warmtenet'!B61)</f>
        <v>0</v>
      </c>
      <c r="D5" s="30">
        <f>SUM(D6:D15)</f>
        <v>32834.454717266999</v>
      </c>
      <c r="E5" s="17">
        <f>SUM(E6:E15)</f>
        <v>558.04554392911132</v>
      </c>
      <c r="F5" s="17">
        <f>SUM(F6:F15)</f>
        <v>5748.4717345515128</v>
      </c>
      <c r="G5" s="18"/>
      <c r="H5" s="17"/>
      <c r="I5" s="17"/>
      <c r="J5" s="17">
        <f>SUM(J6:J15)</f>
        <v>39.934068754573453</v>
      </c>
      <c r="K5" s="17"/>
      <c r="L5" s="17"/>
      <c r="M5" s="17"/>
      <c r="N5" s="17">
        <f>SUM(N6:N15)</f>
        <v>2472.011667571036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428.39007500000002</v>
      </c>
      <c r="C8" s="33"/>
      <c r="D8" s="37">
        <f>IF( ISERROR(IND_metaal_Gas_kWH/1000),0,IND_metaal_Gas_kWH/1000)*0.903</f>
        <v>1080.1153582170002</v>
      </c>
      <c r="E8" s="33">
        <f>C30*'E Balans VL '!I18/100/3.6*1000000</f>
        <v>2.1600175033614692</v>
      </c>
      <c r="F8" s="33">
        <f>C30*'E Balans VL '!L18/100/3.6*1000000+C30*'E Balans VL '!N18/100/3.6*1000000</f>
        <v>29.268485318138818</v>
      </c>
      <c r="G8" s="34"/>
      <c r="H8" s="33"/>
      <c r="I8" s="33"/>
      <c r="J8" s="40">
        <f>C30*'E Balans VL '!D18/100/3.6*1000000+C30*'E Balans VL '!E18/100/3.6*1000000</f>
        <v>0.37980434363165094</v>
      </c>
      <c r="K8" s="33"/>
      <c r="L8" s="33"/>
      <c r="M8" s="33"/>
      <c r="N8" s="33">
        <f>C30*'E Balans VL '!Y18/100/3.6*1000000</f>
        <v>5.6933066390425919</v>
      </c>
      <c r="O8" s="33"/>
      <c r="P8" s="33"/>
      <c r="R8" s="32"/>
    </row>
    <row r="9" spans="1:18">
      <c r="A9" s="6" t="s">
        <v>32</v>
      </c>
      <c r="B9" s="37">
        <f t="shared" si="0"/>
        <v>6070.0995990000001</v>
      </c>
      <c r="C9" s="33"/>
      <c r="D9" s="37">
        <f>IF( ISERROR(IND_andere_gas_kWh/1000),0,IND_andere_gas_kWh/1000)*0.903</f>
        <v>3683.9302583580002</v>
      </c>
      <c r="E9" s="33">
        <f>C31*'E Balans VL '!I19/100/3.6*1000000</f>
        <v>19.13438856345207</v>
      </c>
      <c r="F9" s="33">
        <f>C31*'E Balans VL '!L19/100/3.6*1000000+C31*'E Balans VL '!N19/100/3.6*1000000</f>
        <v>3715.8596739405625</v>
      </c>
      <c r="G9" s="34"/>
      <c r="H9" s="33"/>
      <c r="I9" s="33"/>
      <c r="J9" s="40">
        <f>C31*'E Balans VL '!D19/100/3.6*1000000+C31*'E Balans VL '!E19/100/3.6*1000000</f>
        <v>0</v>
      </c>
      <c r="K9" s="33"/>
      <c r="L9" s="33"/>
      <c r="M9" s="33"/>
      <c r="N9" s="33">
        <f>C31*'E Balans VL '!Y19/100/3.6*1000000</f>
        <v>254.52751829394921</v>
      </c>
      <c r="O9" s="33"/>
      <c r="P9" s="33"/>
      <c r="R9" s="32"/>
    </row>
    <row r="10" spans="1:18">
      <c r="A10" s="6" t="s">
        <v>40</v>
      </c>
      <c r="B10" s="37">
        <f t="shared" si="0"/>
        <v>806.45420999999999</v>
      </c>
      <c r="C10" s="33"/>
      <c r="D10" s="37">
        <f>IF( ISERROR(IND_voed_gas_kWh/1000),0,IND_voed_gas_kWh/1000)*0.903</f>
        <v>610.06506533699996</v>
      </c>
      <c r="E10" s="33">
        <f>C32*'E Balans VL '!I20/100/3.6*1000000</f>
        <v>1.2852615235543949</v>
      </c>
      <c r="F10" s="33">
        <f>C32*'E Balans VL '!L20/100/3.6*1000000+C32*'E Balans VL '!N20/100/3.6*1000000</f>
        <v>13.10292181315193</v>
      </c>
      <c r="G10" s="34"/>
      <c r="H10" s="33"/>
      <c r="I10" s="33"/>
      <c r="J10" s="40">
        <f>C32*'E Balans VL '!D20/100/3.6*1000000+C32*'E Balans VL '!E20/100/3.6*1000000</f>
        <v>0</v>
      </c>
      <c r="K10" s="33"/>
      <c r="L10" s="33"/>
      <c r="M10" s="33"/>
      <c r="N10" s="33">
        <f>C32*'E Balans VL '!Y20/100/3.6*1000000</f>
        <v>25.471851684062297</v>
      </c>
      <c r="O10" s="33"/>
      <c r="P10" s="33"/>
      <c r="R10" s="32"/>
    </row>
    <row r="11" spans="1:18">
      <c r="A11" s="6" t="s">
        <v>39</v>
      </c>
      <c r="B11" s="37">
        <f t="shared" si="0"/>
        <v>177.24351300000001</v>
      </c>
      <c r="C11" s="33"/>
      <c r="D11" s="37">
        <f>IF( ISERROR(IND_textiel_gas_kWh/1000),0,IND_textiel_gas_kWh/1000)*0.903</f>
        <v>669.25569223799994</v>
      </c>
      <c r="E11" s="33">
        <f>C33*'E Balans VL '!I21/100/3.6*1000000</f>
        <v>0.25714794989634543</v>
      </c>
      <c r="F11" s="33">
        <f>C33*'E Balans VL '!L21/100/3.6*1000000+C33*'E Balans VL '!N21/100/3.6*1000000</f>
        <v>3.4687694314089006</v>
      </c>
      <c r="G11" s="34"/>
      <c r="H11" s="33"/>
      <c r="I11" s="33"/>
      <c r="J11" s="40">
        <f>C33*'E Balans VL '!D21/100/3.6*1000000+C33*'E Balans VL '!E21/100/3.6*1000000</f>
        <v>0</v>
      </c>
      <c r="K11" s="33"/>
      <c r="L11" s="33"/>
      <c r="M11" s="33"/>
      <c r="N11" s="33">
        <f>C33*'E Balans VL '!Y21/100/3.6*1000000</f>
        <v>8.6349016915765446</v>
      </c>
      <c r="O11" s="33"/>
      <c r="P11" s="33"/>
      <c r="R11" s="32"/>
    </row>
    <row r="12" spans="1:18">
      <c r="A12" s="6" t="s">
        <v>36</v>
      </c>
      <c r="B12" s="37">
        <f t="shared" si="0"/>
        <v>10847.638389</v>
      </c>
      <c r="C12" s="33"/>
      <c r="D12" s="37">
        <f>IF( ISERROR(IND_min_gas_kWh/1000),0,IND_min_gas_kWh/1000)*0.903</f>
        <v>242.59480219800002</v>
      </c>
      <c r="E12" s="33">
        <f>C34*'E Balans VL '!I22/100/3.6*1000000</f>
        <v>46.940668678797614</v>
      </c>
      <c r="F12" s="33">
        <f>C34*'E Balans VL '!L22/100/3.6*1000000+C34*'E Balans VL '!N22/100/3.6*1000000</f>
        <v>414.17622433519341</v>
      </c>
      <c r="G12" s="34"/>
      <c r="H12" s="33"/>
      <c r="I12" s="33"/>
      <c r="J12" s="40">
        <f>C34*'E Balans VL '!D22/100/3.6*1000000+C34*'E Balans VL '!E22/100/3.6*1000000</f>
        <v>0</v>
      </c>
      <c r="K12" s="33"/>
      <c r="L12" s="33"/>
      <c r="M12" s="33"/>
      <c r="N12" s="33">
        <f>C34*'E Balans VL '!Y22/100/3.6*1000000</f>
        <v>1850.3627506398489</v>
      </c>
      <c r="O12" s="33"/>
      <c r="P12" s="33"/>
      <c r="R12" s="32"/>
    </row>
    <row r="13" spans="1:18">
      <c r="A13" s="6" t="s">
        <v>38</v>
      </c>
      <c r="B13" s="37">
        <f t="shared" si="0"/>
        <v>241.996342</v>
      </c>
      <c r="C13" s="33"/>
      <c r="D13" s="37">
        <f>IF( ISERROR(IND_papier_gas_kWh/1000),0,IND_papier_gas_kWh/1000)*0.903</f>
        <v>119.559071919</v>
      </c>
      <c r="E13" s="33">
        <f>C35*'E Balans VL '!I23/100/3.6*1000000</f>
        <v>0</v>
      </c>
      <c r="F13" s="33">
        <f>C35*'E Balans VL '!L23/100/3.6*1000000+C35*'E Balans VL '!N23/100/3.6*1000000</f>
        <v>1.0484406789356927E-2</v>
      </c>
      <c r="G13" s="34"/>
      <c r="H13" s="33"/>
      <c r="I13" s="33"/>
      <c r="J13" s="40">
        <f>C35*'E Balans VL '!D23/100/3.6*1000000+C35*'E Balans VL '!E23/100/3.6*1000000</f>
        <v>6.6681533660691806E-3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19371.269</v>
      </c>
      <c r="C15" s="33"/>
      <c r="D15" s="37">
        <f>IF( ISERROR(IND_rest_gas_kWh/1000),0,IND_rest_gas_kWh/1000)*0.903</f>
        <v>26428.934469</v>
      </c>
      <c r="E15" s="33">
        <f>C37*'E Balans VL '!I15/100/3.6*1000000</f>
        <v>488.26805971004939</v>
      </c>
      <c r="F15" s="33">
        <f>C37*'E Balans VL '!L15/100/3.6*1000000+C37*'E Balans VL '!N15/100/3.6*1000000</f>
        <v>1572.5851753062682</v>
      </c>
      <c r="G15" s="34"/>
      <c r="H15" s="33"/>
      <c r="I15" s="33"/>
      <c r="J15" s="40">
        <f>C37*'E Balans VL '!D15/100/3.6*1000000+C37*'E Balans VL '!E15/100/3.6*1000000</f>
        <v>39.547596257575734</v>
      </c>
      <c r="K15" s="33"/>
      <c r="L15" s="33"/>
      <c r="M15" s="33"/>
      <c r="N15" s="33">
        <f>C37*'E Balans VL '!Y15/100/3.6*1000000</f>
        <v>327.32133862255654</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37943.091128</v>
      </c>
      <c r="C18" s="21">
        <f>C5+C16</f>
        <v>0</v>
      </c>
      <c r="D18" s="21">
        <f>MAX((D5+D16),0)</f>
        <v>32834.454717266999</v>
      </c>
      <c r="E18" s="21">
        <f>MAX((E5+E16),0)</f>
        <v>558.04554392911132</v>
      </c>
      <c r="F18" s="21">
        <f>MAX((F5+F16),0)</f>
        <v>5748.4717345515128</v>
      </c>
      <c r="G18" s="21"/>
      <c r="H18" s="21"/>
      <c r="I18" s="21"/>
      <c r="J18" s="21">
        <f>MAX((J5+J16),0)</f>
        <v>39.934068754573453</v>
      </c>
      <c r="K18" s="21"/>
      <c r="L18" s="21">
        <f>MAX((L5+L16),0)</f>
        <v>0</v>
      </c>
      <c r="M18" s="21"/>
      <c r="N18" s="21">
        <f>MAX((N5+N16),0)</f>
        <v>2472.011667571036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0.16967628313871949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6438.0426733927634</v>
      </c>
      <c r="C22" s="23">
        <f ca="1">C18*C20</f>
        <v>0</v>
      </c>
      <c r="D22" s="23">
        <f>D18*D20</f>
        <v>6632.5598528879345</v>
      </c>
      <c r="E22" s="23">
        <f>E18*E20</f>
        <v>126.67633847190827</v>
      </c>
      <c r="F22" s="23">
        <f>F18*F20</f>
        <v>1534.8419531252539</v>
      </c>
      <c r="G22" s="23"/>
      <c r="H22" s="23"/>
      <c r="I22" s="23"/>
      <c r="J22" s="23">
        <f>J18*J20</f>
        <v>14.136660339119002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428.39007500000002</v>
      </c>
      <c r="C30" s="39">
        <f>IF(ISERROR(B30*3.6/1000000/'E Balans VL '!Z18*100),0,B30*3.6/1000000/'E Balans VL '!Z18*100)</f>
        <v>2.1264317839408076E-2</v>
      </c>
      <c r="D30" s="237" t="s">
        <v>702</v>
      </c>
    </row>
    <row r="31" spans="1:18">
      <c r="A31" s="6" t="s">
        <v>32</v>
      </c>
      <c r="B31" s="37">
        <f>IF( ISERROR(IND_ander_ele_kWh/1000),0,IND_ander_ele_kWh/1000)</f>
        <v>6070.0995990000001</v>
      </c>
      <c r="C31" s="39">
        <f>IF(ISERROR(B31*3.6/1000000/'E Balans VL '!Z19*100),0,B31*3.6/1000000/'E Balans VL '!Z19*100)</f>
        <v>0.2048347563512751</v>
      </c>
      <c r="D31" s="237" t="s">
        <v>702</v>
      </c>
    </row>
    <row r="32" spans="1:18">
      <c r="A32" s="171" t="s">
        <v>40</v>
      </c>
      <c r="B32" s="37">
        <f>IF( ISERROR(IND_voed_ele_kWh/1000),0,IND_voed_ele_kWh/1000)</f>
        <v>806.45420999999999</v>
      </c>
      <c r="C32" s="39">
        <f>IF(ISERROR(B32*3.6/1000000/'E Balans VL '!Z20*100),0,B32*3.6/1000000/'E Balans VL '!Z20*100)</f>
        <v>1.893902315255486E-2</v>
      </c>
      <c r="D32" s="237" t="s">
        <v>702</v>
      </c>
    </row>
    <row r="33" spans="1:5">
      <c r="A33" s="171" t="s">
        <v>39</v>
      </c>
      <c r="B33" s="37">
        <f>IF( ISERROR(IND_textiel_ele_kWh/1000),0,IND_textiel_ele_kWh/1000)</f>
        <v>177.24351300000001</v>
      </c>
      <c r="C33" s="39">
        <f>IF(ISERROR(B33*3.6/1000000/'E Balans VL '!Z21*100),0,B33*3.6/1000000/'E Balans VL '!Z21*100)</f>
        <v>1.9452250885203689E-2</v>
      </c>
      <c r="D33" s="237" t="s">
        <v>702</v>
      </c>
    </row>
    <row r="34" spans="1:5">
      <c r="A34" s="171" t="s">
        <v>36</v>
      </c>
      <c r="B34" s="37">
        <f>IF( ISERROR(IND_min_ele_kWh/1000),0,IND_min_ele_kWh/1000)</f>
        <v>10847.638389</v>
      </c>
      <c r="C34" s="39">
        <f>IF(ISERROR(B34*3.6/1000000/'E Balans VL '!Z22*100),0,B34*3.6/1000000/'E Balans VL '!Z22*100)</f>
        <v>1.5389626867123309</v>
      </c>
      <c r="D34" s="237" t="s">
        <v>702</v>
      </c>
    </row>
    <row r="35" spans="1:5">
      <c r="A35" s="171" t="s">
        <v>38</v>
      </c>
      <c r="B35" s="37">
        <f>IF( ISERROR(IND_papier_ele_kWh/1000),0,IND_papier_ele_kWh/1000)</f>
        <v>241.996342</v>
      </c>
      <c r="C35" s="39">
        <f>IF(ISERROR(B35*3.6/1000000/'E Balans VL '!Z22*100),0,B35*3.6/1000000/'E Balans VL '!Z22*100)</f>
        <v>3.4332204605615389E-2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19371.269</v>
      </c>
      <c r="C37" s="39">
        <f>IF(ISERROR(B37*3.6/1000000/'E Balans VL '!Z15*100),0,B37*3.6/1000000/'E Balans VL '!Z15*100)</f>
        <v>7.2594396270649231E-2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1318.8221780000001</v>
      </c>
      <c r="C5" s="17">
        <f>'Eigen informatie GS &amp; warmtenet'!B62</f>
        <v>0</v>
      </c>
      <c r="D5" s="30">
        <f>IF(ISERROR(SUM(LB_lb_gas_kWh,LB_rest_gas_kWh)/1000),0,SUM(LB_lb_gas_kWh,LB_rest_gas_kWh)/1000)*0.903</f>
        <v>3188.1833649119999</v>
      </c>
      <c r="E5" s="17">
        <f>B17*'E Balans VL '!I25/3.6*1000000/100</f>
        <v>49.182913006894729</v>
      </c>
      <c r="F5" s="17">
        <f>B17*('E Balans VL '!L25/3.6*1000000+'E Balans VL '!N25/3.6*1000000)/100</f>
        <v>4278.7687583815059</v>
      </c>
      <c r="G5" s="18"/>
      <c r="H5" s="17"/>
      <c r="I5" s="17"/>
      <c r="J5" s="17">
        <f>('E Balans VL '!D25+'E Balans VL '!E25)/3.6*1000000*landbouw!B17/100</f>
        <v>346.19733262761855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1318.8221780000001</v>
      </c>
      <c r="C8" s="21">
        <f>C5+C6</f>
        <v>0</v>
      </c>
      <c r="D8" s="21">
        <f>MAX((D5+D6),0)</f>
        <v>3188.1833649119999</v>
      </c>
      <c r="E8" s="21">
        <f>MAX((E5+E6),0)</f>
        <v>49.182913006894729</v>
      </c>
      <c r="F8" s="21">
        <f>MAX((F5+F6),0)</f>
        <v>4278.7687583815059</v>
      </c>
      <c r="G8" s="21"/>
      <c r="H8" s="21"/>
      <c r="I8" s="21"/>
      <c r="J8" s="21">
        <f>MAX((J5+J6),0)</f>
        <v>346.19733262761855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0.16967628313871949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223.77284528395074</v>
      </c>
      <c r="C12" s="23">
        <f ca="1">C8*C10</f>
        <v>0</v>
      </c>
      <c r="D12" s="23">
        <f>D8*D10</f>
        <v>644.01303971222399</v>
      </c>
      <c r="E12" s="23">
        <f>E8*E10</f>
        <v>11.164521252565104</v>
      </c>
      <c r="F12" s="23">
        <f>F8*F10</f>
        <v>1142.4312584878621</v>
      </c>
      <c r="G12" s="23"/>
      <c r="H12" s="23"/>
      <c r="I12" s="23"/>
      <c r="J12" s="23">
        <f>J8*J10</f>
        <v>122.55385575017696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0.18113678465762076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89.201537367657963</v>
      </c>
      <c r="C26" s="247">
        <f>B26*'GWP N2O_CH4'!B5</f>
        <v>1873.2322847208172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35.701157290537594</v>
      </c>
      <c r="C27" s="247">
        <f>B27*'GWP N2O_CH4'!B5</f>
        <v>749.72430310128948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1.3165035340953193</v>
      </c>
      <c r="C28" s="247">
        <f>B28*'GWP N2O_CH4'!B4</f>
        <v>408.11609556954897</v>
      </c>
      <c r="D28" s="50"/>
    </row>
    <row r="29" spans="1:4">
      <c r="A29" s="41" t="s">
        <v>276</v>
      </c>
      <c r="B29" s="247">
        <f>B34*'ha_N2O bodem landbouw'!B4</f>
        <v>10.095876057744874</v>
      </c>
      <c r="C29" s="247">
        <f>B29*'GWP N2O_CH4'!B4</f>
        <v>3129.7215779009111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2.3008789854828031E-3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4.4700388401585408E-4</v>
      </c>
      <c r="C5" s="440" t="s">
        <v>210</v>
      </c>
      <c r="D5" s="425">
        <f>SUM(D6:D11)</f>
        <v>1.8478123383903551E-3</v>
      </c>
      <c r="E5" s="425">
        <f>SUM(E6:E11)</f>
        <v>9.8885599275900702E-4</v>
      </c>
      <c r="F5" s="438" t="s">
        <v>210</v>
      </c>
      <c r="G5" s="425">
        <f>SUM(G6:G11)</f>
        <v>0.39218119344242353</v>
      </c>
      <c r="H5" s="425">
        <f>SUM(H6:H11)</f>
        <v>0.11771995635683037</v>
      </c>
      <c r="I5" s="440" t="s">
        <v>210</v>
      </c>
      <c r="J5" s="440" t="s">
        <v>210</v>
      </c>
      <c r="K5" s="440" t="s">
        <v>210</v>
      </c>
      <c r="L5" s="440" t="s">
        <v>210</v>
      </c>
      <c r="M5" s="425">
        <f>SUM(M6:M11)</f>
        <v>3.0263868738743628E-2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3.5404095846818082E-4</v>
      </c>
      <c r="C6" s="426"/>
      <c r="D6" s="893">
        <f>vkm_GW_PW*SUMIFS(TableVerdeelsleutelVkm[CNG],TableVerdeelsleutelVkm[Voertuigtype],"Lichte voertuigen")*SUMIFS(TableECFTransport[EnergieConsumptieFactor (PJ per km)],TableECFTransport[Index],CONCATENATE($A6,"_CNG_CNG"))</f>
        <v>1.2786878993523685E-3</v>
      </c>
      <c r="E6" s="893">
        <f>vkm_GW_PW*SUMIFS(TableVerdeelsleutelVkm[LPG],TableVerdeelsleutelVkm[Voertuigtype],"Lichte voertuigen")*SUMIFS(TableECFTransport[EnergieConsumptieFactor (PJ per km)],TableECFTransport[Index],CONCATENATE($A6,"_LPG_LPG"))</f>
        <v>6.9493405106984759E-4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0.21625919496636503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8.1845422062031256E-2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1.7865361839572658E-2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8.4908239485131029E-2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8.9387514665117286E-7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4.7804668780947884E-3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9.2962925547673247E-5</v>
      </c>
      <c r="C8" s="426"/>
      <c r="D8" s="428">
        <f>vkm_NGW_PW*SUMIFS(TableVerdeelsleutelVkm[CNG],TableVerdeelsleutelVkm[Voertuigtype],"Lichte voertuigen")*SUMIFS(TableECFTransport[EnergieConsumptieFactor (PJ per km)],TableECFTransport[Index],CONCATENATE($A8,"_CNG_CNG"))</f>
        <v>5.6912443903798669E-4</v>
      </c>
      <c r="E8" s="428">
        <f>vkm_NGW_PW*SUMIFS(TableVerdeelsleutelVkm[LPG],TableVerdeelsleutelVkm[Voertuigtype],"Lichte voertuigen")*SUMIFS(TableECFTransport[EnergieConsumptieFactor (PJ per km)],TableECFTransport[Index],CONCATENATE($A8,"_LPG_LPG"))</f>
        <v>2.9392194168915948E-4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8.5119866856017523E-2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3.5873550297382803E-2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7.2862027103749189E-3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5.8938921349099473E-3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9.0122269658684809E-8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3.3183731070126433E-4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124.16774555995947</v>
      </c>
      <c r="C14" s="21"/>
      <c r="D14" s="21">
        <f t="shared" ref="D14:M14" si="0">((D5)*10^9/3600)+D12</f>
        <v>513.281205108432</v>
      </c>
      <c r="E14" s="21">
        <f t="shared" si="0"/>
        <v>274.68222021083528</v>
      </c>
      <c r="F14" s="21"/>
      <c r="G14" s="21">
        <f t="shared" si="0"/>
        <v>108939.22040067321</v>
      </c>
      <c r="H14" s="21">
        <f t="shared" si="0"/>
        <v>32699.987876897325</v>
      </c>
      <c r="I14" s="21"/>
      <c r="J14" s="21"/>
      <c r="K14" s="21"/>
      <c r="L14" s="21"/>
      <c r="M14" s="21">
        <f t="shared" si="0"/>
        <v>8406.6302052065639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0.16967628313871949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21.068321552328165</v>
      </c>
      <c r="C18" s="23"/>
      <c r="D18" s="23">
        <f t="shared" ref="D18:M18" si="1">D14*D16</f>
        <v>103.68280343190327</v>
      </c>
      <c r="E18" s="23">
        <f t="shared" si="1"/>
        <v>62.352863987859614</v>
      </c>
      <c r="F18" s="23"/>
      <c r="G18" s="23">
        <f t="shared" si="1"/>
        <v>29086.771846979747</v>
      </c>
      <c r="H18" s="23">
        <f t="shared" si="1"/>
        <v>8142.2969813474338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7.8369634314957391E-3</v>
      </c>
      <c r="H50" s="321">
        <f t="shared" si="2"/>
        <v>0</v>
      </c>
      <c r="I50" s="321">
        <f t="shared" si="2"/>
        <v>0</v>
      </c>
      <c r="J50" s="321">
        <f t="shared" si="2"/>
        <v>0</v>
      </c>
      <c r="K50" s="321">
        <f t="shared" si="2"/>
        <v>0</v>
      </c>
      <c r="L50" s="321">
        <f t="shared" si="2"/>
        <v>0</v>
      </c>
      <c r="M50" s="321">
        <f t="shared" si="2"/>
        <v>4.2527827191058239E-4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7.8369634314957391E-3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4.2527827191058239E-4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2176.9342865265944</v>
      </c>
      <c r="H54" s="21">
        <f t="shared" si="3"/>
        <v>0</v>
      </c>
      <c r="I54" s="21">
        <f t="shared" si="3"/>
        <v>0</v>
      </c>
      <c r="J54" s="21">
        <f t="shared" si="3"/>
        <v>0</v>
      </c>
      <c r="K54" s="21">
        <f t="shared" si="3"/>
        <v>0</v>
      </c>
      <c r="L54" s="21">
        <f t="shared" si="3"/>
        <v>0</v>
      </c>
      <c r="M54" s="21">
        <f t="shared" si="3"/>
        <v>118.1328533084951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0.16967628313871949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581.24145450260073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31270.536834000002</v>
      </c>
      <c r="D10" s="689">
        <f ca="1">tertiair!C16</f>
        <v>35.357142857142861</v>
      </c>
      <c r="E10" s="689">
        <f ca="1">tertiair!D16</f>
        <v>150557.7618266237</v>
      </c>
      <c r="F10" s="689">
        <f>tertiair!E16</f>
        <v>82.174343689944124</v>
      </c>
      <c r="G10" s="689">
        <f ca="1">tertiair!F16</f>
        <v>4765.8075687448554</v>
      </c>
      <c r="H10" s="689">
        <f>tertiair!G16</f>
        <v>0</v>
      </c>
      <c r="I10" s="689">
        <f>tertiair!H16</f>
        <v>0</v>
      </c>
      <c r="J10" s="689">
        <f>tertiair!I16</f>
        <v>0</v>
      </c>
      <c r="K10" s="689">
        <f>tertiair!J16</f>
        <v>3.7357927831103435E-2</v>
      </c>
      <c r="L10" s="689">
        <f>tertiair!K16</f>
        <v>0</v>
      </c>
      <c r="M10" s="689">
        <f ca="1">tertiair!L16</f>
        <v>0</v>
      </c>
      <c r="N10" s="689">
        <f>tertiair!M16</f>
        <v>0</v>
      </c>
      <c r="O10" s="689">
        <f ca="1">tertiair!N16</f>
        <v>1403.5980307382083</v>
      </c>
      <c r="P10" s="689">
        <f>tertiair!O16</f>
        <v>9.7945215316823084</v>
      </c>
      <c r="Q10" s="690">
        <f>tertiair!P16</f>
        <v>157.61741491948504</v>
      </c>
      <c r="R10" s="692">
        <f ca="1">SUM(C10:Q10)</f>
        <v>188282.68504103282</v>
      </c>
      <c r="S10" s="67"/>
    </row>
    <row r="11" spans="1:19" s="451" customFormat="1">
      <c r="A11" s="811" t="s">
        <v>224</v>
      </c>
      <c r="B11" s="816"/>
      <c r="C11" s="689">
        <f>huishoudens!B8</f>
        <v>48154.190201133068</v>
      </c>
      <c r="D11" s="689">
        <f>huishoudens!C8</f>
        <v>0</v>
      </c>
      <c r="E11" s="689">
        <f>huishoudens!D8</f>
        <v>118633.24742100302</v>
      </c>
      <c r="F11" s="689">
        <f>huishoudens!E8</f>
        <v>7129.1823696283154</v>
      </c>
      <c r="G11" s="689">
        <f>huishoudens!F8</f>
        <v>20014.209945060324</v>
      </c>
      <c r="H11" s="689">
        <f>huishoudens!G8</f>
        <v>0</v>
      </c>
      <c r="I11" s="689">
        <f>huishoudens!H8</f>
        <v>0</v>
      </c>
      <c r="J11" s="689">
        <f>huishoudens!I8</f>
        <v>0</v>
      </c>
      <c r="K11" s="689">
        <f>huishoudens!J8</f>
        <v>0</v>
      </c>
      <c r="L11" s="689">
        <f>huishoudens!K8</f>
        <v>0</v>
      </c>
      <c r="M11" s="689">
        <f>huishoudens!L8</f>
        <v>0</v>
      </c>
      <c r="N11" s="689">
        <f>huishoudens!M8</f>
        <v>0</v>
      </c>
      <c r="O11" s="689">
        <f>huishoudens!N8</f>
        <v>13058.892458682129</v>
      </c>
      <c r="P11" s="689">
        <f>huishoudens!O8</f>
        <v>539.63663567327274</v>
      </c>
      <c r="Q11" s="690">
        <f>huishoudens!P8</f>
        <v>621.50359915341642</v>
      </c>
      <c r="R11" s="692">
        <f>SUM(C11:Q11)</f>
        <v>208150.86263033352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37943.091128</v>
      </c>
      <c r="D13" s="689">
        <f>industrie!C18</f>
        <v>0</v>
      </c>
      <c r="E13" s="689">
        <f>industrie!D18</f>
        <v>32834.454717266999</v>
      </c>
      <c r="F13" s="689">
        <f>industrie!E18</f>
        <v>558.04554392911132</v>
      </c>
      <c r="G13" s="689">
        <f>industrie!F18</f>
        <v>5748.4717345515128</v>
      </c>
      <c r="H13" s="689">
        <f>industrie!G18</f>
        <v>0</v>
      </c>
      <c r="I13" s="689">
        <f>industrie!H18</f>
        <v>0</v>
      </c>
      <c r="J13" s="689">
        <f>industrie!I18</f>
        <v>0</v>
      </c>
      <c r="K13" s="689">
        <f>industrie!J18</f>
        <v>39.934068754573453</v>
      </c>
      <c r="L13" s="689">
        <f>industrie!K18</f>
        <v>0</v>
      </c>
      <c r="M13" s="689">
        <f>industrie!L18</f>
        <v>0</v>
      </c>
      <c r="N13" s="689">
        <f>industrie!M18</f>
        <v>0</v>
      </c>
      <c r="O13" s="689">
        <f>industrie!N18</f>
        <v>2472.011667571036</v>
      </c>
      <c r="P13" s="689">
        <f>industrie!O18</f>
        <v>0</v>
      </c>
      <c r="Q13" s="690">
        <f>industrie!P18</f>
        <v>0</v>
      </c>
      <c r="R13" s="692">
        <f>SUM(C13:Q13)</f>
        <v>79596.008860073227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117367.81816313307</v>
      </c>
      <c r="D16" s="725">
        <f t="shared" ref="D16:R16" ca="1" si="0">SUM(D9:D15)</f>
        <v>35.357142857142861</v>
      </c>
      <c r="E16" s="725">
        <f t="shared" ca="1" si="0"/>
        <v>302025.46396489372</v>
      </c>
      <c r="F16" s="725">
        <f t="shared" si="0"/>
        <v>7769.4022572473714</v>
      </c>
      <c r="G16" s="725">
        <f t="shared" ca="1" si="0"/>
        <v>30528.489248356691</v>
      </c>
      <c r="H16" s="725">
        <f t="shared" si="0"/>
        <v>0</v>
      </c>
      <c r="I16" s="725">
        <f t="shared" si="0"/>
        <v>0</v>
      </c>
      <c r="J16" s="725">
        <f t="shared" si="0"/>
        <v>0</v>
      </c>
      <c r="K16" s="725">
        <f t="shared" si="0"/>
        <v>39.971426682404555</v>
      </c>
      <c r="L16" s="725">
        <f t="shared" si="0"/>
        <v>0</v>
      </c>
      <c r="M16" s="725">
        <f t="shared" ca="1" si="0"/>
        <v>0</v>
      </c>
      <c r="N16" s="725">
        <f t="shared" si="0"/>
        <v>0</v>
      </c>
      <c r="O16" s="725">
        <f t="shared" ca="1" si="0"/>
        <v>16934.502156991373</v>
      </c>
      <c r="P16" s="725">
        <f t="shared" si="0"/>
        <v>549.43115720495507</v>
      </c>
      <c r="Q16" s="725">
        <f t="shared" si="0"/>
        <v>779.12101407290152</v>
      </c>
      <c r="R16" s="725">
        <f t="shared" ca="1" si="0"/>
        <v>476029.55653143959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2176.9342865265944</v>
      </c>
      <c r="I19" s="689">
        <f>transport!H54</f>
        <v>0</v>
      </c>
      <c r="J19" s="689">
        <f>transport!I54</f>
        <v>0</v>
      </c>
      <c r="K19" s="689">
        <f>transport!J54</f>
        <v>0</v>
      </c>
      <c r="L19" s="689">
        <f>transport!K54</f>
        <v>0</v>
      </c>
      <c r="M19" s="689">
        <f>transport!L54</f>
        <v>0</v>
      </c>
      <c r="N19" s="689">
        <f>transport!M54</f>
        <v>118.1328533084951</v>
      </c>
      <c r="O19" s="689">
        <f>transport!N54</f>
        <v>0</v>
      </c>
      <c r="P19" s="689">
        <f>transport!O54</f>
        <v>0</v>
      </c>
      <c r="Q19" s="690">
        <f>transport!P54</f>
        <v>0</v>
      </c>
      <c r="R19" s="692">
        <f>SUM(C19:Q19)</f>
        <v>2295.0671398350896</v>
      </c>
      <c r="S19" s="67"/>
    </row>
    <row r="20" spans="1:19" s="451" customFormat="1">
      <c r="A20" s="811" t="s">
        <v>306</v>
      </c>
      <c r="B20" s="816"/>
      <c r="C20" s="689">
        <f>transport!B14</f>
        <v>124.16774555995947</v>
      </c>
      <c r="D20" s="689">
        <f>transport!C14</f>
        <v>0</v>
      </c>
      <c r="E20" s="689">
        <f>transport!D14</f>
        <v>513.281205108432</v>
      </c>
      <c r="F20" s="689">
        <f>transport!E14</f>
        <v>274.68222021083528</v>
      </c>
      <c r="G20" s="689">
        <f>transport!F14</f>
        <v>0</v>
      </c>
      <c r="H20" s="689">
        <f>transport!G14</f>
        <v>108939.22040067321</v>
      </c>
      <c r="I20" s="689">
        <f>transport!H14</f>
        <v>32699.987876897325</v>
      </c>
      <c r="J20" s="689">
        <f>transport!I14</f>
        <v>0</v>
      </c>
      <c r="K20" s="689">
        <f>transport!J14</f>
        <v>0</v>
      </c>
      <c r="L20" s="689">
        <f>transport!K14</f>
        <v>0</v>
      </c>
      <c r="M20" s="689">
        <f>transport!L14</f>
        <v>0</v>
      </c>
      <c r="N20" s="689">
        <f>transport!M14</f>
        <v>8406.6302052065639</v>
      </c>
      <c r="O20" s="689">
        <f>transport!N14</f>
        <v>0</v>
      </c>
      <c r="P20" s="689">
        <f>transport!O14</f>
        <v>0</v>
      </c>
      <c r="Q20" s="690">
        <f>transport!P14</f>
        <v>0</v>
      </c>
      <c r="R20" s="692">
        <f>SUM(C20:Q20)</f>
        <v>150957.96965365633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124.16774555995947</v>
      </c>
      <c r="D22" s="814">
        <f t="shared" ref="D22:R22" si="1">SUM(D18:D21)</f>
        <v>0</v>
      </c>
      <c r="E22" s="814">
        <f t="shared" si="1"/>
        <v>513.281205108432</v>
      </c>
      <c r="F22" s="814">
        <f t="shared" si="1"/>
        <v>274.68222021083528</v>
      </c>
      <c r="G22" s="814">
        <f t="shared" si="1"/>
        <v>0</v>
      </c>
      <c r="H22" s="814">
        <f t="shared" si="1"/>
        <v>111116.1546871998</v>
      </c>
      <c r="I22" s="814">
        <f t="shared" si="1"/>
        <v>32699.987876897325</v>
      </c>
      <c r="J22" s="814">
        <f t="shared" si="1"/>
        <v>0</v>
      </c>
      <c r="K22" s="814">
        <f t="shared" si="1"/>
        <v>0</v>
      </c>
      <c r="L22" s="814">
        <f t="shared" si="1"/>
        <v>0</v>
      </c>
      <c r="M22" s="814">
        <f t="shared" si="1"/>
        <v>0</v>
      </c>
      <c r="N22" s="814">
        <f t="shared" si="1"/>
        <v>8524.7630585150582</v>
      </c>
      <c r="O22" s="814">
        <f t="shared" si="1"/>
        <v>0</v>
      </c>
      <c r="P22" s="814">
        <f t="shared" si="1"/>
        <v>0</v>
      </c>
      <c r="Q22" s="814">
        <f t="shared" si="1"/>
        <v>0</v>
      </c>
      <c r="R22" s="814">
        <f t="shared" si="1"/>
        <v>153253.03679349142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1318.8221780000001</v>
      </c>
      <c r="D24" s="689">
        <f>+landbouw!C8</f>
        <v>0</v>
      </c>
      <c r="E24" s="689">
        <f>+landbouw!D8</f>
        <v>3188.1833649119999</v>
      </c>
      <c r="F24" s="689">
        <f>+landbouw!E8</f>
        <v>49.182913006894729</v>
      </c>
      <c r="G24" s="689">
        <f>+landbouw!F8</f>
        <v>4278.7687583815059</v>
      </c>
      <c r="H24" s="689">
        <f>+landbouw!G8</f>
        <v>0</v>
      </c>
      <c r="I24" s="689">
        <f>+landbouw!H8</f>
        <v>0</v>
      </c>
      <c r="J24" s="689">
        <f>+landbouw!I8</f>
        <v>0</v>
      </c>
      <c r="K24" s="689">
        <f>+landbouw!J8</f>
        <v>346.19733262761855</v>
      </c>
      <c r="L24" s="689">
        <f>+landbouw!K8</f>
        <v>0</v>
      </c>
      <c r="M24" s="689">
        <f>+landbouw!L8</f>
        <v>0</v>
      </c>
      <c r="N24" s="689">
        <f>+landbouw!M8</f>
        <v>0</v>
      </c>
      <c r="O24" s="689">
        <f>+landbouw!N8</f>
        <v>0</v>
      </c>
      <c r="P24" s="689">
        <f>+landbouw!O8</f>
        <v>0</v>
      </c>
      <c r="Q24" s="690">
        <f>+landbouw!P8</f>
        <v>0</v>
      </c>
      <c r="R24" s="692">
        <f>SUM(C24:Q24)</f>
        <v>9181.154546928019</v>
      </c>
      <c r="S24" s="67"/>
    </row>
    <row r="25" spans="1:19" s="451" customFormat="1" ht="15" thickBot="1">
      <c r="A25" s="833" t="s">
        <v>714</v>
      </c>
      <c r="B25" s="947"/>
      <c r="C25" s="948">
        <f>IF(Onbekend_ele_kWh="---",0,Onbekend_ele_kWh)/1000+IF(REST_rest_ele_kWh="---",0,REST_rest_ele_kWh)/1000</f>
        <v>2137.5842590000002</v>
      </c>
      <c r="D25" s="948"/>
      <c r="E25" s="948">
        <f>IF(onbekend_gas_kWh="---",0,onbekend_gas_kWh)/1000+IF(REST_rest_gas_kWh="---",0,REST_rest_gas_kWh)/1000</f>
        <v>3068.9428709999997</v>
      </c>
      <c r="F25" s="948"/>
      <c r="G25" s="948"/>
      <c r="H25" s="948"/>
      <c r="I25" s="948"/>
      <c r="J25" s="948"/>
      <c r="K25" s="948"/>
      <c r="L25" s="948"/>
      <c r="M25" s="948"/>
      <c r="N25" s="948"/>
      <c r="O25" s="948"/>
      <c r="P25" s="948"/>
      <c r="Q25" s="949"/>
      <c r="R25" s="692">
        <f>SUM(C25:Q25)</f>
        <v>5206.5271300000004</v>
      </c>
      <c r="S25" s="67"/>
    </row>
    <row r="26" spans="1:19" s="451" customFormat="1" ht="15.75" thickBot="1">
      <c r="A26" s="697" t="s">
        <v>715</v>
      </c>
      <c r="B26" s="819"/>
      <c r="C26" s="814">
        <f>SUM(C24:C25)</f>
        <v>3456.4064370000006</v>
      </c>
      <c r="D26" s="814">
        <f t="shared" ref="D26:R26" si="2">SUM(D24:D25)</f>
        <v>0</v>
      </c>
      <c r="E26" s="814">
        <f t="shared" si="2"/>
        <v>6257.1262359119992</v>
      </c>
      <c r="F26" s="814">
        <f t="shared" si="2"/>
        <v>49.182913006894729</v>
      </c>
      <c r="G26" s="814">
        <f t="shared" si="2"/>
        <v>4278.7687583815059</v>
      </c>
      <c r="H26" s="814">
        <f t="shared" si="2"/>
        <v>0</v>
      </c>
      <c r="I26" s="814">
        <f t="shared" si="2"/>
        <v>0</v>
      </c>
      <c r="J26" s="814">
        <f t="shared" si="2"/>
        <v>0</v>
      </c>
      <c r="K26" s="814">
        <f t="shared" si="2"/>
        <v>346.19733262761855</v>
      </c>
      <c r="L26" s="814">
        <f t="shared" si="2"/>
        <v>0</v>
      </c>
      <c r="M26" s="814">
        <f t="shared" si="2"/>
        <v>0</v>
      </c>
      <c r="N26" s="814">
        <f t="shared" si="2"/>
        <v>0</v>
      </c>
      <c r="O26" s="814">
        <f t="shared" si="2"/>
        <v>0</v>
      </c>
      <c r="P26" s="814">
        <f t="shared" si="2"/>
        <v>0</v>
      </c>
      <c r="Q26" s="814">
        <f t="shared" si="2"/>
        <v>0</v>
      </c>
      <c r="R26" s="814">
        <f t="shared" si="2"/>
        <v>14387.681676928019</v>
      </c>
      <c r="S26" s="67"/>
    </row>
    <row r="27" spans="1:19" s="451" customFormat="1" ht="17.25" thickTop="1" thickBot="1">
      <c r="A27" s="698" t="s">
        <v>115</v>
      </c>
      <c r="B27" s="806"/>
      <c r="C27" s="699">
        <f ca="1">C22+C16+C26</f>
        <v>120948.39234569302</v>
      </c>
      <c r="D27" s="699">
        <f t="shared" ref="D27:R27" ca="1" si="3">D22+D16+D26</f>
        <v>35.357142857142861</v>
      </c>
      <c r="E27" s="699">
        <f t="shared" ca="1" si="3"/>
        <v>308795.87140591413</v>
      </c>
      <c r="F27" s="699">
        <f t="shared" si="3"/>
        <v>8093.267390465101</v>
      </c>
      <c r="G27" s="699">
        <f t="shared" ca="1" si="3"/>
        <v>34807.258006738193</v>
      </c>
      <c r="H27" s="699">
        <f t="shared" si="3"/>
        <v>111116.1546871998</v>
      </c>
      <c r="I27" s="699">
        <f t="shared" si="3"/>
        <v>32699.987876897325</v>
      </c>
      <c r="J27" s="699">
        <f t="shared" si="3"/>
        <v>0</v>
      </c>
      <c r="K27" s="699">
        <f t="shared" si="3"/>
        <v>386.16875931002312</v>
      </c>
      <c r="L27" s="699">
        <f t="shared" si="3"/>
        <v>0</v>
      </c>
      <c r="M27" s="699">
        <f t="shared" ca="1" si="3"/>
        <v>0</v>
      </c>
      <c r="N27" s="699">
        <f t="shared" si="3"/>
        <v>8524.7630585150582</v>
      </c>
      <c r="O27" s="699">
        <f t="shared" ca="1" si="3"/>
        <v>16934.502156991373</v>
      </c>
      <c r="P27" s="699">
        <f t="shared" si="3"/>
        <v>549.43115720495507</v>
      </c>
      <c r="Q27" s="699">
        <f t="shared" si="3"/>
        <v>779.12101407290152</v>
      </c>
      <c r="R27" s="699">
        <f t="shared" ca="1" si="3"/>
        <v>643670.27500185906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5305.868461745541</v>
      </c>
      <c r="D40" s="689">
        <f ca="1">tertiair!C20</f>
        <v>8.4025210084033635</v>
      </c>
      <c r="E40" s="689">
        <f ca="1">tertiair!D20</f>
        <v>30412.667888977991</v>
      </c>
      <c r="F40" s="689">
        <f>tertiair!E20</f>
        <v>18.653576017617315</v>
      </c>
      <c r="G40" s="689">
        <f ca="1">tertiair!F20</f>
        <v>1272.4706208548764</v>
      </c>
      <c r="H40" s="689">
        <f>tertiair!G20</f>
        <v>0</v>
      </c>
      <c r="I40" s="689">
        <f>tertiair!H20</f>
        <v>0</v>
      </c>
      <c r="J40" s="689">
        <f>tertiair!I20</f>
        <v>0</v>
      </c>
      <c r="K40" s="689">
        <f>tertiair!J20</f>
        <v>1.3224706452210615E-2</v>
      </c>
      <c r="L40" s="689">
        <f>tertiair!K20</f>
        <v>0</v>
      </c>
      <c r="M40" s="689">
        <f ca="1">tertiair!L20</f>
        <v>0</v>
      </c>
      <c r="N40" s="689">
        <f>tertiair!M20</f>
        <v>0</v>
      </c>
      <c r="O40" s="689">
        <f ca="1">tertiair!N20</f>
        <v>0</v>
      </c>
      <c r="P40" s="689">
        <f>tertiair!O20</f>
        <v>0</v>
      </c>
      <c r="Q40" s="772">
        <f>tertiair!P20</f>
        <v>0</v>
      </c>
      <c r="R40" s="852">
        <f t="shared" ca="1" si="4"/>
        <v>37018.076293310885</v>
      </c>
    </row>
    <row r="41" spans="1:18">
      <c r="A41" s="824" t="s">
        <v>224</v>
      </c>
      <c r="B41" s="831"/>
      <c r="C41" s="689">
        <f ca="1">huishoudens!B12</f>
        <v>8170.6240108832062</v>
      </c>
      <c r="D41" s="689">
        <f ca="1">huishoudens!C12</f>
        <v>0</v>
      </c>
      <c r="E41" s="689">
        <f>huishoudens!D12</f>
        <v>23963.915979042613</v>
      </c>
      <c r="F41" s="689">
        <f>huishoudens!E12</f>
        <v>1618.3243979056276</v>
      </c>
      <c r="G41" s="689">
        <f>huishoudens!F12</f>
        <v>5343.7940553311064</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39096.658443162552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6438.0426733927634</v>
      </c>
      <c r="D43" s="689">
        <f ca="1">industrie!C22</f>
        <v>0</v>
      </c>
      <c r="E43" s="689">
        <f>industrie!D22</f>
        <v>6632.5598528879345</v>
      </c>
      <c r="F43" s="689">
        <f>industrie!E22</f>
        <v>126.67633847190827</v>
      </c>
      <c r="G43" s="689">
        <f>industrie!F22</f>
        <v>1534.8419531252539</v>
      </c>
      <c r="H43" s="689">
        <f>industrie!G22</f>
        <v>0</v>
      </c>
      <c r="I43" s="689">
        <f>industrie!H22</f>
        <v>0</v>
      </c>
      <c r="J43" s="689">
        <f>industrie!I22</f>
        <v>0</v>
      </c>
      <c r="K43" s="689">
        <f>industrie!J22</f>
        <v>14.136660339119002</v>
      </c>
      <c r="L43" s="689">
        <f>industrie!K22</f>
        <v>0</v>
      </c>
      <c r="M43" s="689">
        <f>industrie!L22</f>
        <v>0</v>
      </c>
      <c r="N43" s="689">
        <f>industrie!M22</f>
        <v>0</v>
      </c>
      <c r="O43" s="689">
        <f>industrie!N22</f>
        <v>0</v>
      </c>
      <c r="P43" s="689">
        <f>industrie!O22</f>
        <v>0</v>
      </c>
      <c r="Q43" s="772">
        <f>industrie!P22</f>
        <v>0</v>
      </c>
      <c r="R43" s="851">
        <f t="shared" ca="1" si="4"/>
        <v>14746.257478216981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19914.53514602151</v>
      </c>
      <c r="D46" s="725">
        <f t="shared" ref="D46:Q46" ca="1" si="5">SUM(D39:D45)</f>
        <v>8.4025210084033635</v>
      </c>
      <c r="E46" s="725">
        <f t="shared" ca="1" si="5"/>
        <v>61009.143720908542</v>
      </c>
      <c r="F46" s="725">
        <f t="shared" si="5"/>
        <v>1763.6543123951533</v>
      </c>
      <c r="G46" s="725">
        <f t="shared" ca="1" si="5"/>
        <v>8151.1066293112372</v>
      </c>
      <c r="H46" s="725">
        <f t="shared" si="5"/>
        <v>0</v>
      </c>
      <c r="I46" s="725">
        <f t="shared" si="5"/>
        <v>0</v>
      </c>
      <c r="J46" s="725">
        <f t="shared" si="5"/>
        <v>0</v>
      </c>
      <c r="K46" s="725">
        <f t="shared" si="5"/>
        <v>14.149885045571212</v>
      </c>
      <c r="L46" s="725">
        <f t="shared" si="5"/>
        <v>0</v>
      </c>
      <c r="M46" s="725">
        <f t="shared" ca="1" si="5"/>
        <v>0</v>
      </c>
      <c r="N46" s="725">
        <f t="shared" si="5"/>
        <v>0</v>
      </c>
      <c r="O46" s="725">
        <f t="shared" ca="1" si="5"/>
        <v>0</v>
      </c>
      <c r="P46" s="725">
        <f t="shared" si="5"/>
        <v>0</v>
      </c>
      <c r="Q46" s="725">
        <f t="shared" si="5"/>
        <v>0</v>
      </c>
      <c r="R46" s="725">
        <f ca="1">SUM(R39:R45)</f>
        <v>90860.992214690428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581.24145450260073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581.24145450260073</v>
      </c>
    </row>
    <row r="50" spans="1:18">
      <c r="A50" s="827" t="s">
        <v>306</v>
      </c>
      <c r="B50" s="837"/>
      <c r="C50" s="695">
        <f ca="1">transport!B18</f>
        <v>21.068321552328165</v>
      </c>
      <c r="D50" s="695">
        <f>transport!C18</f>
        <v>0</v>
      </c>
      <c r="E50" s="695">
        <f>transport!D18</f>
        <v>103.68280343190327</v>
      </c>
      <c r="F50" s="695">
        <f>transport!E18</f>
        <v>62.352863987859614</v>
      </c>
      <c r="G50" s="695">
        <f>transport!F18</f>
        <v>0</v>
      </c>
      <c r="H50" s="695">
        <f>transport!G18</f>
        <v>29086.771846979747</v>
      </c>
      <c r="I50" s="695">
        <f>transport!H18</f>
        <v>8142.2969813474338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37416.172817299273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21.068321552328165</v>
      </c>
      <c r="D52" s="725">
        <f t="shared" ref="D52:Q52" ca="1" si="6">SUM(D48:D51)</f>
        <v>0</v>
      </c>
      <c r="E52" s="725">
        <f t="shared" si="6"/>
        <v>103.68280343190327</v>
      </c>
      <c r="F52" s="725">
        <f t="shared" si="6"/>
        <v>62.352863987859614</v>
      </c>
      <c r="G52" s="725">
        <f t="shared" si="6"/>
        <v>0</v>
      </c>
      <c r="H52" s="725">
        <f t="shared" si="6"/>
        <v>29668.013301482348</v>
      </c>
      <c r="I52" s="725">
        <f t="shared" si="6"/>
        <v>8142.2969813474338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37997.414271801877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223.77284528395074</v>
      </c>
      <c r="D54" s="695">
        <f ca="1">+landbouw!C12</f>
        <v>0</v>
      </c>
      <c r="E54" s="695">
        <f>+landbouw!D12</f>
        <v>644.01303971222399</v>
      </c>
      <c r="F54" s="695">
        <f>+landbouw!E12</f>
        <v>11.164521252565104</v>
      </c>
      <c r="G54" s="695">
        <f>+landbouw!F12</f>
        <v>1142.4312584878621</v>
      </c>
      <c r="H54" s="695">
        <f>+landbouw!G12</f>
        <v>0</v>
      </c>
      <c r="I54" s="695">
        <f>+landbouw!H12</f>
        <v>0</v>
      </c>
      <c r="J54" s="695">
        <f>+landbouw!I12</f>
        <v>0</v>
      </c>
      <c r="K54" s="695">
        <f>+landbouw!J12</f>
        <v>122.55385575017696</v>
      </c>
      <c r="L54" s="695">
        <f>+landbouw!K12</f>
        <v>0</v>
      </c>
      <c r="M54" s="695">
        <f>+landbouw!L12</f>
        <v>0</v>
      </c>
      <c r="N54" s="695">
        <f>+landbouw!M12</f>
        <v>0</v>
      </c>
      <c r="O54" s="695">
        <f>+landbouw!N12</f>
        <v>0</v>
      </c>
      <c r="P54" s="695">
        <f>+landbouw!O12</f>
        <v>0</v>
      </c>
      <c r="Q54" s="696">
        <f>+landbouw!P12</f>
        <v>0</v>
      </c>
      <c r="R54" s="724">
        <f ca="1">SUM(C54:Q54)</f>
        <v>2143.9355204867788</v>
      </c>
    </row>
    <row r="55" spans="1:18" ht="15" thickBot="1">
      <c r="A55" s="827" t="s">
        <v>714</v>
      </c>
      <c r="B55" s="837"/>
      <c r="C55" s="695">
        <f ca="1">C25*'EF ele_warmte'!B12</f>
        <v>362.69735196295392</v>
      </c>
      <c r="D55" s="695"/>
      <c r="E55" s="695">
        <f>E25*EF_CO2_aardgas</f>
        <v>619.92645994199995</v>
      </c>
      <c r="F55" s="695"/>
      <c r="G55" s="695"/>
      <c r="H55" s="695"/>
      <c r="I55" s="695"/>
      <c r="J55" s="695"/>
      <c r="K55" s="695"/>
      <c r="L55" s="695"/>
      <c r="M55" s="695"/>
      <c r="N55" s="695"/>
      <c r="O55" s="695"/>
      <c r="P55" s="695"/>
      <c r="Q55" s="696"/>
      <c r="R55" s="724">
        <f ca="1">SUM(C55:Q55)</f>
        <v>982.62381190495387</v>
      </c>
    </row>
    <row r="56" spans="1:18" ht="15.75" thickBot="1">
      <c r="A56" s="825" t="s">
        <v>715</v>
      </c>
      <c r="B56" s="838"/>
      <c r="C56" s="725">
        <f ca="1">SUM(C54:C55)</f>
        <v>586.47019724690472</v>
      </c>
      <c r="D56" s="725">
        <f t="shared" ref="D56:Q56" ca="1" si="7">SUM(D54:D55)</f>
        <v>0</v>
      </c>
      <c r="E56" s="725">
        <f t="shared" si="7"/>
        <v>1263.9394996542239</v>
      </c>
      <c r="F56" s="725">
        <f t="shared" si="7"/>
        <v>11.164521252565104</v>
      </c>
      <c r="G56" s="725">
        <f t="shared" si="7"/>
        <v>1142.4312584878621</v>
      </c>
      <c r="H56" s="725">
        <f t="shared" si="7"/>
        <v>0</v>
      </c>
      <c r="I56" s="725">
        <f t="shared" si="7"/>
        <v>0</v>
      </c>
      <c r="J56" s="725">
        <f t="shared" si="7"/>
        <v>0</v>
      </c>
      <c r="K56" s="725">
        <f t="shared" si="7"/>
        <v>122.55385575017696</v>
      </c>
      <c r="L56" s="725">
        <f t="shared" si="7"/>
        <v>0</v>
      </c>
      <c r="M56" s="725">
        <f t="shared" si="7"/>
        <v>0</v>
      </c>
      <c r="N56" s="725">
        <f t="shared" si="7"/>
        <v>0</v>
      </c>
      <c r="O56" s="725">
        <f t="shared" si="7"/>
        <v>0</v>
      </c>
      <c r="P56" s="725">
        <f t="shared" si="7"/>
        <v>0</v>
      </c>
      <c r="Q56" s="726">
        <f t="shared" si="7"/>
        <v>0</v>
      </c>
      <c r="R56" s="727">
        <f ca="1">SUM(R54:R55)</f>
        <v>3126.5593323917328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20522.073664820742</v>
      </c>
      <c r="D61" s="733">
        <f t="shared" ref="D61:Q61" ca="1" si="8">D46+D52+D56</f>
        <v>8.4025210084033635</v>
      </c>
      <c r="E61" s="733">
        <f t="shared" ca="1" si="8"/>
        <v>62376.766023994671</v>
      </c>
      <c r="F61" s="733">
        <f t="shared" si="8"/>
        <v>1837.1716976355779</v>
      </c>
      <c r="G61" s="733">
        <f t="shared" ca="1" si="8"/>
        <v>9293.5378877990988</v>
      </c>
      <c r="H61" s="733">
        <f t="shared" si="8"/>
        <v>29668.013301482348</v>
      </c>
      <c r="I61" s="733">
        <f t="shared" si="8"/>
        <v>8142.2969813474338</v>
      </c>
      <c r="J61" s="733">
        <f t="shared" si="8"/>
        <v>0</v>
      </c>
      <c r="K61" s="733">
        <f t="shared" si="8"/>
        <v>136.70374079574819</v>
      </c>
      <c r="L61" s="733">
        <f t="shared" si="8"/>
        <v>0</v>
      </c>
      <c r="M61" s="733">
        <f t="shared" ca="1" si="8"/>
        <v>0</v>
      </c>
      <c r="N61" s="733">
        <f t="shared" si="8"/>
        <v>0</v>
      </c>
      <c r="O61" s="733">
        <f t="shared" ca="1" si="8"/>
        <v>0</v>
      </c>
      <c r="P61" s="733">
        <f t="shared" si="8"/>
        <v>0</v>
      </c>
      <c r="Q61" s="733">
        <f t="shared" si="8"/>
        <v>0</v>
      </c>
      <c r="R61" s="733">
        <f ca="1">R46+R52+R56</f>
        <v>131984.96581888405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0.16967628313871949</v>
      </c>
      <c r="D63" s="779">
        <f t="shared" ca="1" si="9"/>
        <v>0.23764705882352943</v>
      </c>
      <c r="E63" s="973">
        <f t="shared" ca="1" si="9"/>
        <v>0.20200000000000004</v>
      </c>
      <c r="F63" s="779">
        <f t="shared" si="9"/>
        <v>0.22699999999999998</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14920.580905040682</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13169.613928820392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24.75</v>
      </c>
      <c r="D76" s="956">
        <f>'lokale energieproductie'!C8</f>
        <v>29.117647058823533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5.8817647058823539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28090.194833861075</v>
      </c>
      <c r="C78" s="751">
        <f>SUM(C72:C77)</f>
        <v>24.75</v>
      </c>
      <c r="D78" s="752">
        <f t="shared" ref="D78:H78" si="10">SUM(D76:D77)</f>
        <v>29.117647058823533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5.8817647058823539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35.357142857142861</v>
      </c>
      <c r="D87" s="775">
        <f>'lokale energieproductie'!C17</f>
        <v>41.596638655462193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8.4025210084033635</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35.357142857142861</v>
      </c>
      <c r="D90" s="751">
        <f t="shared" ref="D90:H90" si="12">SUM(D87:D89)</f>
        <v>41.596638655462193</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8.4025210084033635</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14920.580905040682</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13169.613928820392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24.75</v>
      </c>
      <c r="C8" s="551">
        <f>B48</f>
        <v>29.117647058823533</v>
      </c>
      <c r="D8" s="552"/>
      <c r="E8" s="552">
        <f>E48</f>
        <v>0</v>
      </c>
      <c r="F8" s="553"/>
      <c r="G8" s="554"/>
      <c r="H8" s="552">
        <f>I48</f>
        <v>0</v>
      </c>
      <c r="I8" s="552">
        <f>G48+F48</f>
        <v>0</v>
      </c>
      <c r="J8" s="552">
        <f>H48+D48+C48</f>
        <v>0</v>
      </c>
      <c r="K8" s="552"/>
      <c r="L8" s="552"/>
      <c r="M8" s="552"/>
      <c r="N8" s="555"/>
      <c r="O8" s="556">
        <f>C8*$C$12+D8*$D$12+E8*$E$12+F8*$F$12+G8*$G$12+H8*$H$12+I8*$I$12+J8*$J$12</f>
        <v>5.8817647058823539</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28114.944833861075</v>
      </c>
      <c r="C10" s="566">
        <f t="shared" ref="C10:L10" si="0">SUM(C8:C9)</f>
        <v>29.117647058823533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5.8817647058823539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35.357142857142861</v>
      </c>
      <c r="C17" s="582">
        <f>B49</f>
        <v>41.596638655462193</v>
      </c>
      <c r="D17" s="583"/>
      <c r="E17" s="583">
        <f>E49</f>
        <v>0</v>
      </c>
      <c r="F17" s="584"/>
      <c r="G17" s="585"/>
      <c r="H17" s="582">
        <f>I49</f>
        <v>0</v>
      </c>
      <c r="I17" s="583">
        <f>G49+F49</f>
        <v>0</v>
      </c>
      <c r="J17" s="583">
        <f>H49+D49+C49</f>
        <v>0</v>
      </c>
      <c r="K17" s="583"/>
      <c r="L17" s="583"/>
      <c r="M17" s="583"/>
      <c r="N17" s="970"/>
      <c r="O17" s="586">
        <f>C17*$C$22+E17*$E$22+H17*$H$22+I17*$I$22+J17*$J$22+D17*$D$22+F17*$F$22+G17*$G$22+K17*$K$22+L17*$L$22</f>
        <v>8.4025210084033635</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35.357142857142861</v>
      </c>
      <c r="C20" s="565">
        <f>SUM(C17:C19)</f>
        <v>41.596638655462193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8.4025210084033635</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73042</v>
      </c>
      <c r="C28" s="794">
        <v>3620</v>
      </c>
      <c r="D28" s="643" t="s">
        <v>865</v>
      </c>
      <c r="E28" s="642" t="s">
        <v>866</v>
      </c>
      <c r="F28" s="642" t="s">
        <v>867</v>
      </c>
      <c r="G28" s="642" t="s">
        <v>868</v>
      </c>
      <c r="H28" s="642" t="s">
        <v>869</v>
      </c>
      <c r="I28" s="642" t="s">
        <v>866</v>
      </c>
      <c r="J28" s="793">
        <v>39072</v>
      </c>
      <c r="K28" s="793">
        <v>39295</v>
      </c>
      <c r="L28" s="642" t="s">
        <v>870</v>
      </c>
      <c r="M28" s="642">
        <v>5.5</v>
      </c>
      <c r="N28" s="642">
        <v>24.75</v>
      </c>
      <c r="O28" s="642">
        <v>35.357142857142861</v>
      </c>
      <c r="P28" s="642">
        <v>70.714285714285722</v>
      </c>
      <c r="Q28" s="642">
        <v>0</v>
      </c>
      <c r="R28" s="642">
        <v>0</v>
      </c>
      <c r="S28" s="642">
        <v>0</v>
      </c>
      <c r="T28" s="642">
        <v>0</v>
      </c>
      <c r="U28" s="642">
        <v>0</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5.5</v>
      </c>
      <c r="N29" s="600">
        <f>SUM(N28:N28)</f>
        <v>24.75</v>
      </c>
      <c r="O29" s="600">
        <f>SUM(O28:O28)</f>
        <v>35.357142857142861</v>
      </c>
      <c r="P29" s="600">
        <f>SUM(P28:P28)</f>
        <v>70.714285714285722</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5.5</v>
      </c>
      <c r="N31" s="600">
        <f ca="1">SUMIF($Z$28:AD28,"tertiair",N28:N28)</f>
        <v>24.75</v>
      </c>
      <c r="O31" s="600">
        <f ca="1">SUMIF($Z$28:AE28,"tertiair",O28:O28)</f>
        <v>35.357142857142861</v>
      </c>
      <c r="P31" s="600">
        <f ca="1">SUMIF($Z$28:AF28,"tertiair",P28:P28)</f>
        <v>70.714285714285722</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29.117647058823533</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41.596638655462193</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48154.190201133068</v>
      </c>
      <c r="C4" s="455">
        <f>huishoudens!C8</f>
        <v>0</v>
      </c>
      <c r="D4" s="455">
        <f>huishoudens!D8</f>
        <v>118633.24742100302</v>
      </c>
      <c r="E4" s="455">
        <f>huishoudens!E8</f>
        <v>7129.1823696283154</v>
      </c>
      <c r="F4" s="455">
        <f>huishoudens!F8</f>
        <v>20014.209945060324</v>
      </c>
      <c r="G4" s="455">
        <f>huishoudens!G8</f>
        <v>0</v>
      </c>
      <c r="H4" s="455">
        <f>huishoudens!H8</f>
        <v>0</v>
      </c>
      <c r="I4" s="455">
        <f>huishoudens!I8</f>
        <v>0</v>
      </c>
      <c r="J4" s="455">
        <f>huishoudens!J8</f>
        <v>0</v>
      </c>
      <c r="K4" s="455">
        <f>huishoudens!K8</f>
        <v>0</v>
      </c>
      <c r="L4" s="455">
        <f>huishoudens!L8</f>
        <v>0</v>
      </c>
      <c r="M4" s="455">
        <f>huishoudens!M8</f>
        <v>0</v>
      </c>
      <c r="N4" s="455">
        <f>huishoudens!N8</f>
        <v>13058.892458682129</v>
      </c>
      <c r="O4" s="455">
        <f>huishoudens!O8</f>
        <v>539.63663567327274</v>
      </c>
      <c r="P4" s="456">
        <f>huishoudens!P8</f>
        <v>621.50359915341642</v>
      </c>
      <c r="Q4" s="457">
        <f>SUM(B4:P4)</f>
        <v>208150.86263033352</v>
      </c>
    </row>
    <row r="5" spans="1:17">
      <c r="A5" s="454" t="s">
        <v>155</v>
      </c>
      <c r="B5" s="455">
        <f ca="1">tertiair!B16</f>
        <v>29370.550319000002</v>
      </c>
      <c r="C5" s="455">
        <f ca="1">tertiair!C16</f>
        <v>35.357142857142861</v>
      </c>
      <c r="D5" s="455">
        <f ca="1">tertiair!D16</f>
        <v>150557.7618266237</v>
      </c>
      <c r="E5" s="455">
        <f>tertiair!E16</f>
        <v>82.174343689944124</v>
      </c>
      <c r="F5" s="455">
        <f ca="1">tertiair!F16</f>
        <v>4765.8075687448554</v>
      </c>
      <c r="G5" s="455">
        <f>tertiair!G16</f>
        <v>0</v>
      </c>
      <c r="H5" s="455">
        <f>tertiair!H16</f>
        <v>0</v>
      </c>
      <c r="I5" s="455">
        <f>tertiair!I16</f>
        <v>0</v>
      </c>
      <c r="J5" s="455">
        <f>tertiair!J16</f>
        <v>3.7357927831103435E-2</v>
      </c>
      <c r="K5" s="455">
        <f>tertiair!K16</f>
        <v>0</v>
      </c>
      <c r="L5" s="455">
        <f ca="1">tertiair!L16</f>
        <v>0</v>
      </c>
      <c r="M5" s="455">
        <f>tertiair!M16</f>
        <v>0</v>
      </c>
      <c r="N5" s="455">
        <f ca="1">tertiair!N16</f>
        <v>1403.5980307382083</v>
      </c>
      <c r="O5" s="455">
        <f>tertiair!O16</f>
        <v>9.7945215316823084</v>
      </c>
      <c r="P5" s="456">
        <f>tertiair!P16</f>
        <v>157.61741491948504</v>
      </c>
      <c r="Q5" s="454">
        <f t="shared" ref="Q5:Q14" ca="1" si="0">SUM(B5:P5)</f>
        <v>186382.69852603282</v>
      </c>
    </row>
    <row r="6" spans="1:17">
      <c r="A6" s="454" t="s">
        <v>193</v>
      </c>
      <c r="B6" s="455">
        <f>'openbare verlichting'!B8</f>
        <v>1899.9865149999998</v>
      </c>
      <c r="C6" s="455"/>
      <c r="D6" s="455"/>
      <c r="E6" s="455"/>
      <c r="F6" s="455"/>
      <c r="G6" s="455"/>
      <c r="H6" s="455"/>
      <c r="I6" s="455"/>
      <c r="J6" s="455"/>
      <c r="K6" s="455"/>
      <c r="L6" s="455"/>
      <c r="M6" s="455"/>
      <c r="N6" s="455"/>
      <c r="O6" s="455"/>
      <c r="P6" s="456"/>
      <c r="Q6" s="454">
        <f t="shared" si="0"/>
        <v>1899.9865149999998</v>
      </c>
    </row>
    <row r="7" spans="1:17">
      <c r="A7" s="454" t="s">
        <v>111</v>
      </c>
      <c r="B7" s="455">
        <f>landbouw!B8</f>
        <v>1318.8221780000001</v>
      </c>
      <c r="C7" s="455">
        <f>landbouw!C8</f>
        <v>0</v>
      </c>
      <c r="D7" s="455">
        <f>landbouw!D8</f>
        <v>3188.1833649119999</v>
      </c>
      <c r="E7" s="455">
        <f>landbouw!E8</f>
        <v>49.182913006894729</v>
      </c>
      <c r="F7" s="455">
        <f>landbouw!F8</f>
        <v>4278.7687583815059</v>
      </c>
      <c r="G7" s="455">
        <f>landbouw!G8</f>
        <v>0</v>
      </c>
      <c r="H7" s="455">
        <f>landbouw!H8</f>
        <v>0</v>
      </c>
      <c r="I7" s="455">
        <f>landbouw!I8</f>
        <v>0</v>
      </c>
      <c r="J7" s="455">
        <f>landbouw!J8</f>
        <v>346.19733262761855</v>
      </c>
      <c r="K7" s="455">
        <f>landbouw!K8</f>
        <v>0</v>
      </c>
      <c r="L7" s="455">
        <f>landbouw!L8</f>
        <v>0</v>
      </c>
      <c r="M7" s="455">
        <f>landbouw!M8</f>
        <v>0</v>
      </c>
      <c r="N7" s="455">
        <f>landbouw!N8</f>
        <v>0</v>
      </c>
      <c r="O7" s="455">
        <f>landbouw!O8</f>
        <v>0</v>
      </c>
      <c r="P7" s="456">
        <f>landbouw!P8</f>
        <v>0</v>
      </c>
      <c r="Q7" s="454">
        <f t="shared" si="0"/>
        <v>9181.154546928019</v>
      </c>
    </row>
    <row r="8" spans="1:17">
      <c r="A8" s="454" t="s">
        <v>626</v>
      </c>
      <c r="B8" s="455">
        <f>industrie!B18</f>
        <v>37943.091128</v>
      </c>
      <c r="C8" s="455">
        <f>industrie!C18</f>
        <v>0</v>
      </c>
      <c r="D8" s="455">
        <f>industrie!D18</f>
        <v>32834.454717266999</v>
      </c>
      <c r="E8" s="455">
        <f>industrie!E18</f>
        <v>558.04554392911132</v>
      </c>
      <c r="F8" s="455">
        <f>industrie!F18</f>
        <v>5748.4717345515128</v>
      </c>
      <c r="G8" s="455">
        <f>industrie!G18</f>
        <v>0</v>
      </c>
      <c r="H8" s="455">
        <f>industrie!H18</f>
        <v>0</v>
      </c>
      <c r="I8" s="455">
        <f>industrie!I18</f>
        <v>0</v>
      </c>
      <c r="J8" s="455">
        <f>industrie!J18</f>
        <v>39.934068754573453</v>
      </c>
      <c r="K8" s="455">
        <f>industrie!K18</f>
        <v>0</v>
      </c>
      <c r="L8" s="455">
        <f>industrie!L18</f>
        <v>0</v>
      </c>
      <c r="M8" s="455">
        <f>industrie!M18</f>
        <v>0</v>
      </c>
      <c r="N8" s="455">
        <f>industrie!N18</f>
        <v>2472.011667571036</v>
      </c>
      <c r="O8" s="455">
        <f>industrie!O18</f>
        <v>0</v>
      </c>
      <c r="P8" s="456">
        <f>industrie!P18</f>
        <v>0</v>
      </c>
      <c r="Q8" s="454">
        <f t="shared" si="0"/>
        <v>79596.008860073227</v>
      </c>
    </row>
    <row r="9" spans="1:17" s="460" customFormat="1">
      <c r="A9" s="458" t="s">
        <v>552</v>
      </c>
      <c r="B9" s="459">
        <f>transport!B14</f>
        <v>124.16774555995947</v>
      </c>
      <c r="C9" s="459">
        <f>transport!C14</f>
        <v>0</v>
      </c>
      <c r="D9" s="459">
        <f>transport!D14</f>
        <v>513.281205108432</v>
      </c>
      <c r="E9" s="459">
        <f>transport!E14</f>
        <v>274.68222021083528</v>
      </c>
      <c r="F9" s="459">
        <f>transport!F14</f>
        <v>0</v>
      </c>
      <c r="G9" s="459">
        <f>transport!G14</f>
        <v>108939.22040067321</v>
      </c>
      <c r="H9" s="459">
        <f>transport!H14</f>
        <v>32699.987876897325</v>
      </c>
      <c r="I9" s="459">
        <f>transport!I14</f>
        <v>0</v>
      </c>
      <c r="J9" s="459">
        <f>transport!J14</f>
        <v>0</v>
      </c>
      <c r="K9" s="459">
        <f>transport!K14</f>
        <v>0</v>
      </c>
      <c r="L9" s="459">
        <f>transport!L14</f>
        <v>0</v>
      </c>
      <c r="M9" s="459">
        <f>transport!M14</f>
        <v>8406.6302052065639</v>
      </c>
      <c r="N9" s="459">
        <f>transport!N14</f>
        <v>0</v>
      </c>
      <c r="O9" s="459">
        <f>transport!O14</f>
        <v>0</v>
      </c>
      <c r="P9" s="459">
        <f>transport!P14</f>
        <v>0</v>
      </c>
      <c r="Q9" s="458">
        <f>SUM(B9:P9)</f>
        <v>150957.96965365633</v>
      </c>
    </row>
    <row r="10" spans="1:17">
      <c r="A10" s="454" t="s">
        <v>542</v>
      </c>
      <c r="B10" s="455">
        <f>transport!B54</f>
        <v>0</v>
      </c>
      <c r="C10" s="455">
        <f>transport!C54</f>
        <v>0</v>
      </c>
      <c r="D10" s="455">
        <f>transport!D54</f>
        <v>0</v>
      </c>
      <c r="E10" s="455">
        <f>transport!E54</f>
        <v>0</v>
      </c>
      <c r="F10" s="455">
        <f>transport!F54</f>
        <v>0</v>
      </c>
      <c r="G10" s="455">
        <f>transport!G54</f>
        <v>2176.9342865265944</v>
      </c>
      <c r="H10" s="455">
        <f>transport!H54</f>
        <v>0</v>
      </c>
      <c r="I10" s="455">
        <f>transport!I54</f>
        <v>0</v>
      </c>
      <c r="J10" s="455">
        <f>transport!J54</f>
        <v>0</v>
      </c>
      <c r="K10" s="455">
        <f>transport!K54</f>
        <v>0</v>
      </c>
      <c r="L10" s="455">
        <f>transport!L54</f>
        <v>0</v>
      </c>
      <c r="M10" s="455">
        <f>transport!M54</f>
        <v>118.1328533084951</v>
      </c>
      <c r="N10" s="455">
        <f>transport!N54</f>
        <v>0</v>
      </c>
      <c r="O10" s="455">
        <f>transport!O54</f>
        <v>0</v>
      </c>
      <c r="P10" s="456">
        <f>transport!P54</f>
        <v>0</v>
      </c>
      <c r="Q10" s="454">
        <f t="shared" si="0"/>
        <v>2295.0671398350896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2137.5842590000002</v>
      </c>
      <c r="C14" s="462"/>
      <c r="D14" s="462">
        <f>'SEAP template'!E25</f>
        <v>3068.9428709999997</v>
      </c>
      <c r="E14" s="462"/>
      <c r="F14" s="462"/>
      <c r="G14" s="462"/>
      <c r="H14" s="462"/>
      <c r="I14" s="462"/>
      <c r="J14" s="462"/>
      <c r="K14" s="462"/>
      <c r="L14" s="462"/>
      <c r="M14" s="462"/>
      <c r="N14" s="462"/>
      <c r="O14" s="462"/>
      <c r="P14" s="463"/>
      <c r="Q14" s="454">
        <f t="shared" si="0"/>
        <v>5206.5271300000004</v>
      </c>
    </row>
    <row r="15" spans="1:17" s="466" customFormat="1">
      <c r="A15" s="464" t="s">
        <v>546</v>
      </c>
      <c r="B15" s="465">
        <f ca="1">SUM(B4:B14)</f>
        <v>120948.39234569302</v>
      </c>
      <c r="C15" s="465">
        <f t="shared" ref="C15:Q15" ca="1" si="1">SUM(C4:C14)</f>
        <v>35.357142857142861</v>
      </c>
      <c r="D15" s="465">
        <f t="shared" ca="1" si="1"/>
        <v>308795.87140591413</v>
      </c>
      <c r="E15" s="465">
        <f t="shared" si="1"/>
        <v>8093.267390465101</v>
      </c>
      <c r="F15" s="465">
        <f t="shared" ca="1" si="1"/>
        <v>34807.258006738193</v>
      </c>
      <c r="G15" s="465">
        <f t="shared" si="1"/>
        <v>111116.1546871998</v>
      </c>
      <c r="H15" s="465">
        <f t="shared" si="1"/>
        <v>32699.987876897325</v>
      </c>
      <c r="I15" s="465">
        <f t="shared" si="1"/>
        <v>0</v>
      </c>
      <c r="J15" s="465">
        <f t="shared" si="1"/>
        <v>386.16875931002312</v>
      </c>
      <c r="K15" s="465">
        <f t="shared" si="1"/>
        <v>0</v>
      </c>
      <c r="L15" s="465">
        <f t="shared" ca="1" si="1"/>
        <v>0</v>
      </c>
      <c r="M15" s="465">
        <f t="shared" si="1"/>
        <v>8524.7630585150582</v>
      </c>
      <c r="N15" s="465">
        <f t="shared" ca="1" si="1"/>
        <v>16934.502156991373</v>
      </c>
      <c r="O15" s="465">
        <f t="shared" si="1"/>
        <v>549.43115720495507</v>
      </c>
      <c r="P15" s="465">
        <f t="shared" si="1"/>
        <v>779.12101407290152</v>
      </c>
      <c r="Q15" s="465">
        <f t="shared" ca="1" si="1"/>
        <v>643670.27500185894</v>
      </c>
    </row>
    <row r="17" spans="1:17">
      <c r="A17" s="467" t="s">
        <v>547</v>
      </c>
      <c r="B17" s="784">
        <f ca="1">huishoudens!B10</f>
        <v>0.16967628313871949</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8170.6240108832062</v>
      </c>
      <c r="C22" s="455">
        <f t="shared" ref="C22:C32" ca="1" si="3">C4*$C$17</f>
        <v>0</v>
      </c>
      <c r="D22" s="455">
        <f t="shared" ref="D22:D32" si="4">D4*$D$17</f>
        <v>23963.915979042613</v>
      </c>
      <c r="E22" s="455">
        <f t="shared" ref="E22:E32" si="5">E4*$E$17</f>
        <v>1618.3243979056276</v>
      </c>
      <c r="F22" s="455">
        <f t="shared" ref="F22:F32" si="6">F4*$F$17</f>
        <v>5343.7940553311064</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39096.658443162552</v>
      </c>
    </row>
    <row r="23" spans="1:17">
      <c r="A23" s="454" t="s">
        <v>155</v>
      </c>
      <c r="B23" s="455">
        <f t="shared" ca="1" si="2"/>
        <v>4983.4858118666525</v>
      </c>
      <c r="C23" s="455">
        <f t="shared" ca="1" si="3"/>
        <v>8.4025210084033635</v>
      </c>
      <c r="D23" s="455">
        <f t="shared" ca="1" si="4"/>
        <v>30412.667888977991</v>
      </c>
      <c r="E23" s="455">
        <f t="shared" si="5"/>
        <v>18.653576017617315</v>
      </c>
      <c r="F23" s="455">
        <f t="shared" ca="1" si="6"/>
        <v>1272.4706208548764</v>
      </c>
      <c r="G23" s="455">
        <f t="shared" si="7"/>
        <v>0</v>
      </c>
      <c r="H23" s="455">
        <f t="shared" si="8"/>
        <v>0</v>
      </c>
      <c r="I23" s="455">
        <f t="shared" si="9"/>
        <v>0</v>
      </c>
      <c r="J23" s="455">
        <f t="shared" si="10"/>
        <v>1.3224706452210615E-2</v>
      </c>
      <c r="K23" s="455">
        <f t="shared" si="11"/>
        <v>0</v>
      </c>
      <c r="L23" s="455">
        <f t="shared" ca="1" si="12"/>
        <v>0</v>
      </c>
      <c r="M23" s="455">
        <f t="shared" si="13"/>
        <v>0</v>
      </c>
      <c r="N23" s="455">
        <f t="shared" ca="1" si="14"/>
        <v>0</v>
      </c>
      <c r="O23" s="455">
        <f t="shared" si="15"/>
        <v>0</v>
      </c>
      <c r="P23" s="456">
        <f t="shared" si="16"/>
        <v>0</v>
      </c>
      <c r="Q23" s="454">
        <f t="shared" ref="Q23:Q31" ca="1" si="17">SUM(B23:P23)</f>
        <v>36695.693643431994</v>
      </c>
    </row>
    <row r="24" spans="1:17">
      <c r="A24" s="454" t="s">
        <v>193</v>
      </c>
      <c r="B24" s="455">
        <f t="shared" ca="1" si="2"/>
        <v>322.38264987888886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322.38264987888886</v>
      </c>
    </row>
    <row r="25" spans="1:17">
      <c r="A25" s="454" t="s">
        <v>111</v>
      </c>
      <c r="B25" s="455">
        <f t="shared" ca="1" si="2"/>
        <v>223.77284528395074</v>
      </c>
      <c r="C25" s="455">
        <f t="shared" ca="1" si="3"/>
        <v>0</v>
      </c>
      <c r="D25" s="455">
        <f t="shared" si="4"/>
        <v>644.01303971222399</v>
      </c>
      <c r="E25" s="455">
        <f t="shared" si="5"/>
        <v>11.164521252565104</v>
      </c>
      <c r="F25" s="455">
        <f t="shared" si="6"/>
        <v>1142.4312584878621</v>
      </c>
      <c r="G25" s="455">
        <f t="shared" si="7"/>
        <v>0</v>
      </c>
      <c r="H25" s="455">
        <f t="shared" si="8"/>
        <v>0</v>
      </c>
      <c r="I25" s="455">
        <f t="shared" si="9"/>
        <v>0</v>
      </c>
      <c r="J25" s="455">
        <f t="shared" si="10"/>
        <v>122.55385575017696</v>
      </c>
      <c r="K25" s="455">
        <f t="shared" si="11"/>
        <v>0</v>
      </c>
      <c r="L25" s="455">
        <f t="shared" si="12"/>
        <v>0</v>
      </c>
      <c r="M25" s="455">
        <f t="shared" si="13"/>
        <v>0</v>
      </c>
      <c r="N25" s="455">
        <f t="shared" si="14"/>
        <v>0</v>
      </c>
      <c r="O25" s="455">
        <f t="shared" si="15"/>
        <v>0</v>
      </c>
      <c r="P25" s="456">
        <f t="shared" si="16"/>
        <v>0</v>
      </c>
      <c r="Q25" s="454">
        <f t="shared" ca="1" si="17"/>
        <v>2143.9355204867788</v>
      </c>
    </row>
    <row r="26" spans="1:17">
      <c r="A26" s="454" t="s">
        <v>626</v>
      </c>
      <c r="B26" s="455">
        <f t="shared" ca="1" si="2"/>
        <v>6438.0426733927634</v>
      </c>
      <c r="C26" s="455">
        <f t="shared" ca="1" si="3"/>
        <v>0</v>
      </c>
      <c r="D26" s="455">
        <f t="shared" si="4"/>
        <v>6632.5598528879345</v>
      </c>
      <c r="E26" s="455">
        <f t="shared" si="5"/>
        <v>126.67633847190827</v>
      </c>
      <c r="F26" s="455">
        <f t="shared" si="6"/>
        <v>1534.8419531252539</v>
      </c>
      <c r="G26" s="455">
        <f t="shared" si="7"/>
        <v>0</v>
      </c>
      <c r="H26" s="455">
        <f t="shared" si="8"/>
        <v>0</v>
      </c>
      <c r="I26" s="455">
        <f t="shared" si="9"/>
        <v>0</v>
      </c>
      <c r="J26" s="455">
        <f t="shared" si="10"/>
        <v>14.136660339119002</v>
      </c>
      <c r="K26" s="455">
        <f t="shared" si="11"/>
        <v>0</v>
      </c>
      <c r="L26" s="455">
        <f t="shared" si="12"/>
        <v>0</v>
      </c>
      <c r="M26" s="455">
        <f t="shared" si="13"/>
        <v>0</v>
      </c>
      <c r="N26" s="455">
        <f t="shared" si="14"/>
        <v>0</v>
      </c>
      <c r="O26" s="455">
        <f t="shared" si="15"/>
        <v>0</v>
      </c>
      <c r="P26" s="456">
        <f t="shared" si="16"/>
        <v>0</v>
      </c>
      <c r="Q26" s="454">
        <f t="shared" ca="1" si="17"/>
        <v>14746.257478216981</v>
      </c>
    </row>
    <row r="27" spans="1:17" s="460" customFormat="1">
      <c r="A27" s="458" t="s">
        <v>552</v>
      </c>
      <c r="B27" s="778">
        <f t="shared" ca="1" si="2"/>
        <v>21.068321552328165</v>
      </c>
      <c r="C27" s="459">
        <f t="shared" ca="1" si="3"/>
        <v>0</v>
      </c>
      <c r="D27" s="459">
        <f t="shared" si="4"/>
        <v>103.68280343190327</v>
      </c>
      <c r="E27" s="459">
        <f t="shared" si="5"/>
        <v>62.352863987859614</v>
      </c>
      <c r="F27" s="459">
        <f t="shared" si="6"/>
        <v>0</v>
      </c>
      <c r="G27" s="459">
        <f t="shared" si="7"/>
        <v>29086.771846979747</v>
      </c>
      <c r="H27" s="459">
        <f t="shared" si="8"/>
        <v>8142.2969813474338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37416.172817299273</v>
      </c>
    </row>
    <row r="28" spans="1:17" ht="16.5" customHeight="1">
      <c r="A28" s="454" t="s">
        <v>542</v>
      </c>
      <c r="B28" s="455">
        <f t="shared" ca="1" si="2"/>
        <v>0</v>
      </c>
      <c r="C28" s="455">
        <f t="shared" ca="1" si="3"/>
        <v>0</v>
      </c>
      <c r="D28" s="455">
        <f t="shared" si="4"/>
        <v>0</v>
      </c>
      <c r="E28" s="455">
        <f t="shared" si="5"/>
        <v>0</v>
      </c>
      <c r="F28" s="455">
        <f t="shared" si="6"/>
        <v>0</v>
      </c>
      <c r="G28" s="455">
        <f t="shared" si="7"/>
        <v>581.24145450260073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581.24145450260073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362.69735196295392</v>
      </c>
      <c r="C32" s="455">
        <f t="shared" ca="1" si="3"/>
        <v>0</v>
      </c>
      <c r="D32" s="455">
        <f t="shared" si="4"/>
        <v>619.92645994199995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982.62381190495387</v>
      </c>
    </row>
    <row r="33" spans="1:17" s="466" customFormat="1">
      <c r="A33" s="464" t="s">
        <v>546</v>
      </c>
      <c r="B33" s="465">
        <f ca="1">SUM(B22:B32)</f>
        <v>20522.073664820742</v>
      </c>
      <c r="C33" s="465">
        <f t="shared" ref="C33:Q33" ca="1" si="19">SUM(C22:C32)</f>
        <v>8.4025210084033635</v>
      </c>
      <c r="D33" s="465">
        <f t="shared" ca="1" si="19"/>
        <v>62376.766023994671</v>
      </c>
      <c r="E33" s="465">
        <f t="shared" si="19"/>
        <v>1837.1716976355779</v>
      </c>
      <c r="F33" s="465">
        <f t="shared" ca="1" si="19"/>
        <v>9293.5378877990988</v>
      </c>
      <c r="G33" s="465">
        <f t="shared" si="19"/>
        <v>29668.013301482348</v>
      </c>
      <c r="H33" s="465">
        <f t="shared" si="19"/>
        <v>8142.2969813474338</v>
      </c>
      <c r="I33" s="465">
        <f t="shared" si="19"/>
        <v>0</v>
      </c>
      <c r="J33" s="465">
        <f t="shared" si="19"/>
        <v>136.70374079574816</v>
      </c>
      <c r="K33" s="465">
        <f t="shared" si="19"/>
        <v>0</v>
      </c>
      <c r="L33" s="465">
        <f t="shared" ca="1" si="19"/>
        <v>0</v>
      </c>
      <c r="M33" s="465">
        <f t="shared" si="19"/>
        <v>0</v>
      </c>
      <c r="N33" s="465">
        <f t="shared" ca="1" si="19"/>
        <v>0</v>
      </c>
      <c r="O33" s="465">
        <f t="shared" si="19"/>
        <v>0</v>
      </c>
      <c r="P33" s="465">
        <f t="shared" si="19"/>
        <v>0</v>
      </c>
      <c r="Q33" s="465">
        <f t="shared" ca="1" si="19"/>
        <v>131984.96581888403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14920.580905040682</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13169.613928820392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24.75</v>
      </c>
      <c r="D8" s="1026">
        <f>'SEAP template'!D76</f>
        <v>29.117647058823533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5.8817647058823539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28090.194833861075</v>
      </c>
      <c r="C10" s="1028">
        <f>SUM(C4:C9)</f>
        <v>24.75</v>
      </c>
      <c r="D10" s="1028">
        <f t="shared" ref="D10:H10" si="0">SUM(D8:D9)</f>
        <v>29.117647058823533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5.8817647058823539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0.16967628313871949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35.357142857142861</v>
      </c>
      <c r="D17" s="1027">
        <f>'SEAP template'!D87</f>
        <v>41.596638655462193</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8.4025210084033635</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35.357142857142861</v>
      </c>
      <c r="D20" s="1028">
        <f t="shared" ref="D20:H20" si="2">SUM(D17:D19)</f>
        <v>41.596638655462193</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8.4025210084033635</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0.16967628313871949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2020-06-20T15:27:13Z</dcterms:modified>
</cp:coreProperties>
</file>