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J15" i="16"/>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49"/>
  <c r="C20" i="16"/>
  <c r="C22" i="16" s="1"/>
  <c r="D43" i="14" s="1"/>
  <c r="C18" i="15"/>
  <c r="C20" i="15" s="1"/>
  <c r="D40" i="14" s="1"/>
  <c r="C10" i="13"/>
  <c r="C12" i="13" s="1"/>
  <c r="D41" i="14" s="1"/>
  <c r="D46" i="14" s="1"/>
  <c r="D61" i="14" s="1"/>
  <c r="D63" i="14" s="1"/>
  <c r="C17" i="19"/>
  <c r="C19" i="19" s="1"/>
  <c r="D39" i="14" s="1"/>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9" i="48"/>
  <c r="C32" i="48"/>
  <c r="C25" i="48"/>
  <c r="C31" i="48"/>
  <c r="C26" i="48"/>
  <c r="F27" i="14"/>
  <c r="F63" i="14" s="1"/>
  <c r="C78" i="14"/>
  <c r="B78" i="14"/>
  <c r="C30" i="48" l="1"/>
  <c r="C27" i="48"/>
  <c r="C23" i="48"/>
  <c r="C22" i="48"/>
  <c r="C28" i="48"/>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<sst xmlns="http://schemas.openxmlformats.org/spreadsheetml/2006/main" count="2375" uniqueCount="872">
  <si>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</si>
  <si>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</si>
  <si>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</si>
  <si>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</si>
  <si>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</si>
  <si>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</si>
  <si>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</si>
  <si>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</si>
  <si>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</si>
  <si>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</si>
  <si>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</si>
  <si>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</si>
  <si>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</si>
  <si>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</si>
  <si>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</si>
  <si>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</si>
  <si>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</si>
  <si>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</si>
  <si>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</si>
  <si>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</si>
  <si>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</si>
  <si>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</si>
  <si>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</si>
  <si>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</si>
  <si>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</si>
  <si>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</si>
  <si>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</si>
  <si>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</si>
  <si>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</si>
  <si>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</si>
  <si>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</si>
  <si>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</si>
  <si>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</si>
  <si>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</si>
  <si>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</si>
  <si>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</si>
  <si>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</si>
  <si>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</si>
  <si>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</si>
  <si>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</si>
  <si>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</si>
  <si>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</si>
  <si>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</si>
  <si>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</si>
  <si>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</si>
  <si>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</si>
  <si>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</si>
  <si>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</si>
  <si>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</si>
  <si>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</si>
  <si>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</si>
  <si>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</si>
  <si>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</si>
  <si>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</si>
  <si>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</si>
  <si>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</si>
  <si>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</si>
  <si>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</si>
  <si>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</si>
  <si>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</si>
  <si>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</si>
  <si>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</si>
  <si>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</si>
  <si>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</si>
  <si>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</si>
  <si>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</si>
  <si>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</si>
  <si>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</si>
  <si>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</si>
  <si>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</si>
  <si>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</si>
  <si>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</si>
  <si>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</si>
  <si>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</si>
  <si>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</si>
  <si>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</si>
  <si>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</si>
  <si>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</si>
  <si>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</si>
  <si>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</si>
  <si>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</si>
  <si>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</si>
  <si>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</si>
  <si>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</si>
  <si>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</si>
  <si>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</si>
  <si>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</si>
  <si>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</si>
  <si>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</si>
  <si>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</si>
  <si>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</si>
  <si>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</si>
  <si>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</si>
  <si>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</si>
  <si>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</si>
  <si>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</si>
  <si>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</si>
  <si>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</si>
  <si>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</si>
  <si>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</si>
  <si>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</si>
  <si>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</si>
  <si>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</si>
  <si>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</si>
  <si>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</si>
  <si>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</si>
  <si>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</si>
  <si>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</si>
  <si>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</si>
  <si>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</si>
  <si>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</si>
  <si>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</si>
  <si>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</si>
  <si>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</si>
  <si>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</si>
  <si>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</si>
  <si>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</si>
  <si>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</si>
  <si>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</si>
  <si>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</si>
  <si>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</si>
  <si>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</si>
  <si>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</si>
  <si>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</si>
  <si>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</si>
  <si>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</si>
  <si>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</si>
  <si>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</si>
  <si>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</si>
  <si>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</si>
  <si>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</si>
  <si>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</si>
  <si>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</si>
  <si>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</si>
  <si>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</si>
  <si>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</si>
  <si>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</si>
  <si>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</si>
  <si>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</si>
  <si>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</si>
  <si>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</si>
  <si>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</si>
  <si>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</si>
  <si>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</si>
  <si>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</si>
  <si>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</si>
  <si>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</si>
  <si>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</si>
  <si>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</si>
  <si>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</si>
  <si>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</si>
  <si>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</si>
  <si>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</si>
  <si>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</si>
  <si>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</si>
  <si>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</si>
  <si>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</si>
  <si>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</si>
  <si>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</si>
  <si>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</si>
  <si>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</si>
  <si>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</si>
  <si>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</si>
  <si>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</si>
  <si>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</si>
  <si>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</si>
  <si>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</si>
  <si>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</si>
  <si>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</si>
  <si>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</si>
  <si>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</si>
  <si>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</si>
  <si>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</si>
  <si>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</si>
  <si>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</si>
  <si>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</si>
  <si>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</si>
  <si>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</si>
  <si>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</si>
  <si>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</si>
  <si>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</si>
  <si>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</si>
  <si>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</si>
  <si>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</si>
  <si>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</si>
  <si>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</si>
  <si>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</si>
  <si>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</si>
  <si>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</si>
  <si>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</si>
  <si>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</si>
  <si>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</si>
  <si>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</si>
  <si>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</si>
  <si>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</si>
  <si>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</si>
  <si>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</si>
  <si>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</si>
  <si>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</si>
  <si>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</si>
  <si>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</si>
  <si>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</si>
  <si>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</si>
  <si>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</si>
  <si>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</si>
  <si>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</si>
  <si>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</si>
  <si>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</si>
  <si>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</si>
  <si>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</si>
  <si>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</si>
  <si>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</si>
  <si>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</si>
  <si>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</si>
  <si>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</si>
  <si>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</si>
  <si>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</si>
  <si>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</si>
  <si>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</si>
  <si>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</si>
  <si>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</si>
  <si>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</si>
  <si>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</si>
  <si>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</si>
  <si>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</si>
  <si>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</si>
  <si>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</si>
  <si>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</si>
  <si>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</si>
  <si>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</si>
  <si>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</si>
  <si>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</si>
  <si>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</si>
  <si>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</si>
  <si>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</si>
  <si>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</si>
  <si>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</si>
  <si>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</si>
  <si>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</si>
  <si>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</si>
  <si>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</si>
  <si>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</si>
  <si>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</si>
  <si>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</si>
  <si>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</si>
  <si>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</si>
  <si>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</si>
  <si>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</si>
  <si>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</si>
  <si>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</si>
  <si>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</si>
  <si>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</si>
  <si>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</si>
  <si>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</si>
  <si>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</si>
  <si>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</si>
  <si>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</si>
  <si>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</si>
  <si>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</si>
  <si>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</si>
  <si>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</si>
  <si>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</si>
  <si>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</si>
  <si>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</si>
  <si>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</si>
  <si>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</si>
  <si>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</si>
  <si>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</si>
  <si>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</si>
  <si>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</si>
  <si>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</si>
  <si>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</si>
  <si>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</si>
  <si>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</si>
  <si>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</si>
  <si>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</si>
  <si>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</si>
  <si>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</si>
  <si>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</si>
  <si>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</si>
  <si>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</si>
  <si>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</si>
  <si>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</si>
  <si>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</si>
  <si>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</si>
  <si>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</si>
  <si>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</si>
  <si>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</si>
  <si>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</si>
  <si>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</si>
  <si>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</si>
  <si>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</si>
  <si>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</si>
  <si>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</si>
  <si>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</si>
  <si>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</si>
  <si>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</si>
  <si>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</si>
  <si>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</si>
  <si>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</si>
  <si>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</si>
  <si>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</si>
  <si>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</si>
  <si>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</si>
  <si>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</si>
  <si>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</si>
  <si>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</si>
  <si>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</si>
  <si>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</si>
  <si>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</si>
  <si>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</si>
  <si>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</si>
  <si>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</si>
  <si>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</si>
  <si>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</si>
  <si>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</si>
  <si>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</si>
  <si>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</si>
  <si>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</si>
  <si>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</si>
  <si>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</si>
  <si>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</si>
  <si>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</si>
  <si>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</si>
  <si>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</si>
  <si>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</si>
  <si>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</si>
  <si>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</si>
  <si>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</si>
  <si>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</si>
  <si>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</si>
  <si>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</si>
  <si>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</si>
  <si>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</si>
  <si>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</si>
  <si>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</si>
  <si>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</si>
  <si>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</si>
  <si>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</si>
  <si>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</si>
  <si>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</si>
  <si>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</si>
  <si>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</si>
  <si>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</si>
  <si>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</si>
  <si>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</si>
  <si>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</si>
  <si>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</si>
  <si>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</si>
  <si>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</si>
  <si>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</si>
  <si>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</si>
  <si>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</si>
  <si>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</si>
  <si>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</si>
  <si>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</si>
  <si>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</si>
  <si>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</si>
  <si>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</si>
  <si>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</si>
  <si>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</si>
  <si>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</si>
  <si>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</si>
  <si>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</si>
  <si>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</si>
  <si>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</si>
  <si>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</si>
  <si>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</si>
  <si>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</si>
  <si>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</si>
  <si>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</si>
  <si>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</si>
  <si>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</si>
  <si>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</si>
  <si>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</si>
  <si>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</si>
  <si>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</si>
  <si>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</si>
  <si>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</si>
  <si>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</si>
  <si>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</si>
  <si>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</si>
  <si>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</si>
  <si>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</si>
  <si>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</si>
  <si>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</si>
  <si>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</si>
  <si>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</si>
  <si>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</si>
  <si>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</si>
  <si>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</si>
  <si>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</si>
  <si>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</si>
  <si>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</si>
  <si>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</si>
  <si>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</si>
  <si>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</si>
  <si>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</si>
  <si>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</si>
  <si>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</si>
  <si>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</si>
  <si>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</si>
  <si>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</si>
  <si>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</si>
  <si>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</si>
  <si>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</si>
  <si>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</si>
  <si>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</si>
  <si>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</si>
  <si>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</si>
  <si>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</si>
  <si>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</si>
  <si>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</si>
  <si>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</si>
  <si>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</si>
  <si>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</si>
  <si>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</si>
  <si>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</si>
  <si>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</si>
  <si>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</si>
  <si>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</si>
  <si>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</si>
  <si>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</si>
  <si>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</si>
  <si>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</si>
  <si>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</si>
  <si>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</si>
  <si>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</si>
  <si>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</si>
  <si>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</si>
  <si>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</si>
  <si>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</si>
  <si>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</si>
  <si>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</si>
  <si>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</si>
  <si>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</si>
  <si>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</si>
  <si>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</si>
  <si>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</si>
  <si>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</si>
  <si>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</si>
  <si>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</si>
  <si>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</si>
  <si>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</si>
  <si>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</si>
  <si>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</si>
  <si>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</si>
  <si>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</si>
  <si>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</si>
  <si>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</si>
  <si>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</si>
  <si>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</si>
  <si>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</si>
  <si>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</si>
  <si>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</si>
  <si>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</si>
  <si>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</si>
  <si>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</si>
  <si>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</si>
  <si>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</si>
  <si>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</si>
  <si>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</si>
  <si>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</si>
  <si>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</si>
  <si>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</si>
  <si>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</si>
  <si>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</si>
  <si>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</si>
  <si>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</si>
  <si>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</si>
  <si>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</si>
  <si>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</si>
  <si>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</si>
  <si>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</si>
  <si>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</si>
  <si>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</si>
  <si>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</si>
  <si>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</si>
  <si>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</si>
  <si>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</si>
  <si>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</si>
  <si>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</si>
  <si>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</si>
  <si>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</si>
  <si>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</si>
  <si>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</si>
  <si>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</si>
  <si>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</si>
  <si>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</si>
  <si>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</si>
  <si>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</si>
  <si>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</si>
  <si>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</si>
  <si>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</si>
  <si>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</si>
  <si>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</si>
  <si>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</si>
  <si>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</si>
  <si>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</si>
  <si>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</si>
  <si>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</si>
  <si>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</si>
  <si>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</si>
  <si>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</si>
  <si>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</si>
  <si>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</si>
  <si>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</si>
  <si>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</si>
  <si>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</si>
  <si>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</si>
  <si>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</si>
  <si>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</si>
  <si>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</si>
  <si>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</si>
  <si>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</si>
  <si>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</si>
  <si>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</si>
  <si>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</si>
  <si>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</si>
  <si>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</si>
  <si>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</si>
  <si>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</si>
  <si>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</si>
  <si>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</si>
  <si>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</si>
  <si>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</si>
  <si>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</si>
  <si>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</si>
  <si>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</si>
  <si>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</si>
  <si>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</si>
  <si>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</si>
  <si>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</si>
  <si>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</si>
  <si>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</si>
  <si>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</si>
  <si>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</si>
  <si>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</si>
  <si>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</si>
  <si>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</si>
  <si>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</si>
  <si>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</si>
  <si>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</si>
  <si>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</si>
  <si>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</si>
  <si>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</si>
  <si>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</si>
  <si>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</si>
  <si>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</si>
  <si>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</si>
  <si>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</si>
  <si>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</si>
  <si>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</si>
  <si>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</si>
  <si>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</si>
  <si>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</si>
  <si>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</si>
  <si>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</si>
  <si>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</si>
  <si>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</si>
  <si>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</si>
  <si>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</si>
  <si>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</si>
  <si>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</si>
  <si>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</si>
  <si>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</si>
  <si>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</si>
  <si>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</si>
  <si>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</si>
  <si>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</si>
  <si>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</si>
  <si>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</si>
  <si>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</si>
  <si>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</si>
  <si>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</si>
  <si>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</si>
  <si>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</si>
  <si>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</si>
  <si>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</si>
  <si>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</si>
  <si>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</si>
  <si>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</si>
  <si>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</si>
  <si>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</si>
  <si>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</si>
  <si>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</si>
  <si>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</si>
  <si>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</si>
  <si>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</si>
  <si>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</si>
  <si>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</si>
  <si>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</si>
  <si>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</si>
  <si>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</si>
  <si>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</si>
  <si>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</si>
  <si>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</si>
  <si>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</si>
  <si>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</si>
  <si>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</si>
  <si>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</si>
  <si>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</si>
  <si>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</si>
  <si>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</si>
  <si>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</si>
  <si>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</si>
  <si>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</si>
  <si>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</si>
  <si>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</si>
  <si>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</si>
  <si>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</si>
  <si>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</si>
  <si>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</si>
  <si>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</si>
  <si>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</si>
  <si>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</si>
  <si>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</si>
  <si>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</si>
  <si>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</si>
  <si>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</si>
  <si>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</si>
  <si>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</si>
  <si>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</si>
  <si>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</si>
  <si>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</si>
  <si>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</si>
  <si>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</si>
  <si>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</si>
  <si>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</si>
  <si>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</si>
  <si>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</si>
  <si>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</si>
  <si>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</si>
  <si>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</si>
  <si>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</si>
  <si>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</si>
  <si>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</si>
  <si>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</si>
  <si>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</si>
  <si>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</si>
  <si>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</si>
  <si>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</si>
  <si>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</si>
  <si>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</si>
  <si>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</si>
  <si>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</si>
  <si>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</si>
  <si>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</si>
  <si>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</si>
  <si>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</si>
  <si>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</si>
  <si>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</si>
  <si>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</si>
  <si>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</si>
  <si>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</si>
  <si>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</si>
  <si>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</si>
  <si>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</si>
  <si>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</si>
  <si>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</si>
  <si>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</si>
  <si>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</si>
  <si>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</si>
  <si>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</si>
  <si>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</si>
  <si>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</si>
  <si>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</si>
  <si>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</si>
  <si>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</si>
  <si>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</si>
  <si>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</si>
  <si>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</si>
  <si>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</si>
  <si>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</si>
  <si>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</si>
  <si>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</si>
  <si>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</si>
  <si>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</si>
  <si>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</si>
  <si>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</si>
  <si>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</si>
  <si>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</si>
  <si>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</si>
  <si>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</si>
  <si>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</si>
  <si>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</si>
  <si>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</si>
  <si>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</si>
  <si>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</si>
  <si>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</si>
  <si>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</si>
  <si>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</si>
  <si>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</si>
  <si>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</si>
  <si>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</si>
  <si>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</si>
  <si>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</si>
  <si>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</si>
  <si>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</si>
  <si>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</si>
  <si>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</si>
  <si>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</si>
  <si>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</si>
  <si>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</si>
  <si>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</si>
  <si>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</si>
  <si>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</si>
  <si>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</si>
  <si>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</si>
  <si>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</si>
  <si>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</si>
  <si>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</si>
  <si>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</si>
  <si>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</si>
  <si>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</si>
  <si>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</si>
  <si>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</si>
  <si>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</si>
  <si>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</si>
  <si>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</si>
  <si>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</si>
  <si>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</si>
  <si>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</si>
  <si>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</si>
  <si>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</si>
  <si>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</si>
  <si>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</si>
  <si>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</si>
  <si>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</si>
  <si>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</si>
  <si>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</si>
  <si>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</si>
  <si>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</si>
  <si>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</si>
  <si>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</si>
  <si>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</si>
  <si>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</si>
  <si>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</si>
  <si>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</si>
  <si>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</si>
  <si>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</si>
  <si>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</si>
  <si>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</si>
  <si>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</si>
  <si>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</si>
  <si>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</si>
  <si>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</si>
  <si>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</si>
  <si>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</si>
  <si>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</si>
  <si>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</si>
  <si>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</si>
  <si>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</si>
  <si>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</si>
  <si>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</si>
  <si>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</si>
  <si>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</si>
  <si>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</si>
  <si>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</si>
  <si>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</si>
  <si>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</si>
  <si>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</si>
  <si>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</si>
  <si>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</si>
  <si>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</si>
  <si>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</si>
  <si>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</si>
  <si>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</si>
  <si>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</si>
  <si>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</si>
  <si>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</si>
  <si>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</si>
  <si>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</si>
  <si>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</si>
  <si>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</si>
  <si>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</si>
  <si>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</si>
  <si>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</si>
  <si>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</si>
  <si>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</si>
  <si>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</si>
  <si>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</si>
  <si>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</si>
  <si>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</si>
  <si>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</si>
  <si>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</si>
  <si>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</si>
  <si>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</si>
  <si>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</si>
  <si>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</si>
  <si>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</si>
  <si>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</si>
  <si>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</si>
  <si>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</si>
  <si>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</si>
  <si>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</si>
  <si>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</si>
  <si>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</si>
  <si>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</si>
  <si>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</si>
  <si>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</si>
  <si>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</si>
  <si>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</si>
  <si>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</si>
  <si>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</si>
  <si>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</si>
  <si>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</si>
  <si>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</si>
  <si>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</si>
  <si>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</si>
  <si>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</si>
  <si>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</si>
  <si>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</si>
  <si>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</si>
  <si>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</si>
  <si>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</si>
  <si>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</si>
  <si>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</si>
  <si>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</si>
  <si>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</si>
  <si>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</si>
  <si>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</si>
  <si>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</si>
  <si>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</si>
  <si>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</si>
  <si>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</si>
  <si>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</si>
  <si>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</si>
  <si>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</si>
  <si>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</si>
  <si>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</si>
  <si>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</si>
  <si>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</si>
  <si>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</si>
  <si>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</si>
  <si>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</si>
  <si>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</si>
  <si>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</si>
  <si>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</si>
  <si>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</si>
  <si>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</si>
  <si>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</si>
  <si>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</si>
  <si>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</si>
  <si>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</si>
  <si>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</si>
  <si>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</si>
  <si>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</si>
  <si>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</si>
  <si>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</si>
  <si>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</si>
  <si>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</si>
  <si>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</si>
  <si>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</si>
  <si>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</si>
  <si>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</si>
  <si>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</si>
  <si>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</si>
  <si>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</si>
  <si>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</si>
  <si>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</si>
  <si>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</si>
  <si>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72040</t>
  </si>
  <si>
    <t>MEEUWEN-GRUITRODE</t>
  </si>
  <si>
    <t>referentietaak LNE (2017); Jaarverslag De Lijn</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</si>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</sst>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116036.42398983557</c:v>
                </c:pt>
                <c:pt idx="1">
                  <c:v>16267.606354878162</c:v>
                </c:pt>
                <c:pt idx="2">
                  <c:v>757.10587600000008</c:v>
                </c:pt>
                <c:pt idx="3">
                  <c:v>10920.752205835592</c:v>
                </c:pt>
                <c:pt idx="4">
                  <c:v>10203.103913013285</c:v>
                </c:pt>
                <c:pt idx="5">
                  <c:v>104887.63087040139</c:v>
                </c:pt>
                <c:pt idx="6">
                  <c:v>1769.9710061170888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116036.42398983557</c:v>
                </c:pt>
                <c:pt idx="1">
                  <c:v>16267.606354878162</c:v>
                </c:pt>
                <c:pt idx="2">
                  <c:v>757.10587600000008</c:v>
                </c:pt>
                <c:pt idx="3">
                  <c:v>10920.752205835592</c:v>
                </c:pt>
                <c:pt idx="4">
                  <c:v>10203.103913013285</c:v>
                </c:pt>
                <c:pt idx="5">
                  <c:v>104887.63087040139</c:v>
                </c:pt>
                <c:pt idx="6">
                  <c:v>1769.9710061170888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21684.181294070673</c:v>
                </c:pt>
                <c:pt idx="1">
                  <c:v>3078.6730454604449</c:v>
                </c:pt>
                <c:pt idx="2">
                  <c:v>133.67578308158801</c:v>
                </c:pt>
                <c:pt idx="3">
                  <c:v>2731.9270070979474</c:v>
                </c:pt>
                <c:pt idx="4">
                  <c:v>1964.028795809234</c:v>
                </c:pt>
                <c:pt idx="5">
                  <c:v>26034.389684969366</c:v>
                </c:pt>
                <c:pt idx="6">
                  <c:v>448.2572662762496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21684.181294070673</c:v>
                </c:pt>
                <c:pt idx="1">
                  <c:v>3078.6730454604449</c:v>
                </c:pt>
                <c:pt idx="2">
                  <c:v>133.67578308158801</c:v>
                </c:pt>
                <c:pt idx="3">
                  <c:v>2731.9270070979474</c:v>
                </c:pt>
                <c:pt idx="4">
                  <c:v>1964.028795809234</c:v>
                </c:pt>
                <c:pt idx="5">
                  <c:v>26034.389684969366</c:v>
                </c:pt>
                <c:pt idx="6">
                  <c:v>448.2572662762496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72040</v>
      </c>
      <c r="B6" s="392"/>
      <c r="C6" s="393"/>
    </row>
    <row r="7" spans="1:7" s="390" customFormat="1" ht="15.75" customHeight="1">
      <c r="A7" s="394" t="str">
        <f>txtMunicipality</f>
        <v>MEEUWEN-GRUITRODE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0.17656154485002043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0.17656154485002043</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5246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4664.3787208576659</v>
      </c>
      <c r="C14" s="332"/>
      <c r="D14" s="332"/>
      <c r="E14" s="332"/>
      <c r="F14" s="332"/>
    </row>
    <row r="15" spans="1:6">
      <c r="A15" s="1310" t="s">
        <v>183</v>
      </c>
      <c r="B15" s="1311">
        <v>2283.9396628216505</v>
      </c>
      <c r="C15" s="332"/>
      <c r="D15" s="332"/>
      <c r="E15" s="332"/>
      <c r="F15" s="332"/>
    </row>
    <row r="16" spans="1:6">
      <c r="A16" s="1310" t="s">
        <v>6</v>
      </c>
      <c r="B16" s="1311">
        <v>1843.3744221879815</v>
      </c>
      <c r="C16" s="332"/>
      <c r="D16" s="332"/>
      <c r="E16" s="332"/>
      <c r="F16" s="332"/>
    </row>
    <row r="17" spans="1:6">
      <c r="A17" s="1310" t="s">
        <v>7</v>
      </c>
      <c r="B17" s="1311">
        <v>532.74907749077488</v>
      </c>
      <c r="C17" s="332"/>
      <c r="D17" s="332"/>
      <c r="E17" s="332"/>
      <c r="F17" s="332"/>
    </row>
    <row r="18" spans="1:6">
      <c r="A18" s="1310" t="s">
        <v>8</v>
      </c>
      <c r="B18" s="1311">
        <v>1471.5217673814163</v>
      </c>
      <c r="C18" s="332"/>
      <c r="D18" s="332"/>
      <c r="E18" s="332"/>
      <c r="F18" s="332"/>
    </row>
    <row r="19" spans="1:6">
      <c r="A19" s="1310" t="s">
        <v>9</v>
      </c>
      <c r="B19" s="1311">
        <v>1288.5174337517435</v>
      </c>
      <c r="C19" s="332"/>
      <c r="D19" s="332"/>
      <c r="E19" s="332"/>
      <c r="F19" s="332"/>
    </row>
    <row r="20" spans="1:6">
      <c r="A20" s="1310" t="s">
        <v>10</v>
      </c>
      <c r="B20" s="1311">
        <v>815.37832310838451</v>
      </c>
      <c r="C20" s="332"/>
      <c r="D20" s="332"/>
      <c r="E20" s="332"/>
      <c r="F20" s="332"/>
    </row>
    <row r="21" spans="1:6">
      <c r="A21" s="1310" t="s">
        <v>11</v>
      </c>
      <c r="B21" s="1311">
        <v>5180.7823529411762</v>
      </c>
      <c r="C21" s="332"/>
      <c r="D21" s="332"/>
      <c r="E21" s="332"/>
      <c r="F21" s="332"/>
    </row>
    <row r="22" spans="1:6">
      <c r="A22" s="1310" t="s">
        <v>12</v>
      </c>
      <c r="B22" s="1311">
        <v>15829.017038007863</v>
      </c>
      <c r="C22" s="332"/>
      <c r="D22" s="332"/>
      <c r="E22" s="332"/>
      <c r="F22" s="332"/>
    </row>
    <row r="23" spans="1:6">
      <c r="A23" s="1310" t="s">
        <v>13</v>
      </c>
      <c r="B23" s="1311">
        <v>174.69613259668509</v>
      </c>
      <c r="C23" s="332"/>
      <c r="D23" s="332"/>
      <c r="E23" s="332"/>
      <c r="F23" s="332"/>
    </row>
    <row r="24" spans="1:6">
      <c r="A24" s="1310" t="s">
        <v>14</v>
      </c>
      <c r="B24" s="1311">
        <v>9</v>
      </c>
      <c r="C24" s="332"/>
      <c r="D24" s="332"/>
      <c r="E24" s="332"/>
      <c r="F24" s="332"/>
    </row>
    <row r="25" spans="1:6">
      <c r="A25" s="1310" t="s">
        <v>15</v>
      </c>
      <c r="B25" s="1311">
        <v>1120.1126997476872</v>
      </c>
      <c r="C25" s="332"/>
      <c r="D25" s="332"/>
      <c r="E25" s="332"/>
      <c r="F25" s="332"/>
    </row>
    <row r="26" spans="1:6">
      <c r="A26" s="1310" t="s">
        <v>16</v>
      </c>
      <c r="B26" s="1311">
        <v>194</v>
      </c>
      <c r="C26" s="332"/>
      <c r="D26" s="332"/>
      <c r="E26" s="332"/>
      <c r="F26" s="332"/>
    </row>
    <row r="27" spans="1:6">
      <c r="A27" s="1310" t="s">
        <v>17</v>
      </c>
      <c r="B27" s="1311">
        <v>0</v>
      </c>
      <c r="C27" s="332"/>
      <c r="D27" s="332"/>
      <c r="E27" s="332"/>
      <c r="F27" s="332"/>
    </row>
    <row r="28" spans="1:6" s="43" customFormat="1">
      <c r="A28" s="1312" t="s">
        <v>18</v>
      </c>
      <c r="B28" s="1313">
        <v>115579.88919089586</v>
      </c>
      <c r="C28" s="338"/>
      <c r="D28" s="338"/>
      <c r="E28" s="338"/>
      <c r="F28" s="338"/>
    </row>
    <row r="29" spans="1:6">
      <c r="A29" s="1312" t="s">
        <v>699</v>
      </c>
      <c r="B29" s="1313">
        <v>587.89936102236413</v>
      </c>
      <c r="C29" s="338"/>
      <c r="D29" s="338"/>
      <c r="E29" s="338"/>
      <c r="F29" s="338"/>
    </row>
    <row r="30" spans="1:6">
      <c r="A30" s="1305" t="s">
        <v>700</v>
      </c>
      <c r="B30" s="1314">
        <v>81.600000000000009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2100</v>
      </c>
      <c r="D39" s="1311">
        <v>30499599.592999998</v>
      </c>
      <c r="E39" s="1311">
        <v>5155</v>
      </c>
      <c r="F39" s="1311">
        <v>16560351.295</v>
      </c>
    </row>
    <row r="40" spans="1:6">
      <c r="A40" s="1310" t="s">
        <v>29</v>
      </c>
      <c r="B40" s="1310" t="s">
        <v>28</v>
      </c>
      <c r="C40" s="1311">
        <v>0</v>
      </c>
      <c r="D40" s="1311">
        <v>0</v>
      </c>
      <c r="E40" s="1311">
        <v>0</v>
      </c>
      <c r="F40" s="1311">
        <v>0</v>
      </c>
    </row>
    <row r="41" spans="1:6">
      <c r="A41" s="1310" t="s">
        <v>31</v>
      </c>
      <c r="B41" s="1310" t="s">
        <v>32</v>
      </c>
      <c r="C41" s="1311">
        <v>44</v>
      </c>
      <c r="D41" s="1311">
        <v>1617344.794</v>
      </c>
      <c r="E41" s="1311">
        <v>148</v>
      </c>
      <c r="F41" s="1311">
        <v>2229340.0499999998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5</v>
      </c>
      <c r="D44" s="1311">
        <v>224797.647</v>
      </c>
      <c r="E44" s="1311">
        <v>28</v>
      </c>
      <c r="F44" s="1311">
        <v>3418085.0040000002</v>
      </c>
    </row>
    <row r="45" spans="1:6">
      <c r="A45" s="1310" t="s">
        <v>31</v>
      </c>
      <c r="B45" s="1310" t="s">
        <v>36</v>
      </c>
      <c r="C45" s="1311">
        <v>3</v>
      </c>
      <c r="D45" s="1311">
        <v>50467.915999999997</v>
      </c>
      <c r="E45" s="1311">
        <v>5</v>
      </c>
      <c r="F45" s="1311">
        <v>53125.911</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5</v>
      </c>
      <c r="D48" s="1311">
        <v>101402.08100000001</v>
      </c>
      <c r="E48" s="1311">
        <v>3</v>
      </c>
      <c r="F48" s="1311">
        <v>2637.886</v>
      </c>
    </row>
    <row r="49" spans="1:6">
      <c r="A49" s="1310" t="s">
        <v>31</v>
      </c>
      <c r="B49" s="1310" t="s">
        <v>39</v>
      </c>
      <c r="C49" s="1311">
        <v>0</v>
      </c>
      <c r="D49" s="1311">
        <v>0</v>
      </c>
      <c r="E49" s="1311">
        <v>5</v>
      </c>
      <c r="F49" s="1311">
        <v>36841.078000000001</v>
      </c>
    </row>
    <row r="50" spans="1:6">
      <c r="A50" s="1310" t="s">
        <v>31</v>
      </c>
      <c r="B50" s="1310" t="s">
        <v>40</v>
      </c>
      <c r="C50" s="1311">
        <v>0</v>
      </c>
      <c r="D50" s="1311">
        <v>0</v>
      </c>
      <c r="E50" s="1311">
        <v>7</v>
      </c>
      <c r="F50" s="1311">
        <v>842197.02899999998</v>
      </c>
    </row>
    <row r="51" spans="1:6">
      <c r="A51" s="1310" t="s">
        <v>41</v>
      </c>
      <c r="B51" s="1310" t="s">
        <v>42</v>
      </c>
      <c r="C51" s="1311">
        <v>4</v>
      </c>
      <c r="D51" s="1311">
        <v>48204.692999999999</v>
      </c>
      <c r="E51" s="1311">
        <v>115</v>
      </c>
      <c r="F51" s="1311">
        <v>2379935.594</v>
      </c>
    </row>
    <row r="52" spans="1:6">
      <c r="A52" s="1310" t="s">
        <v>41</v>
      </c>
      <c r="B52" s="1310" t="s">
        <v>28</v>
      </c>
      <c r="C52" s="1311">
        <v>0</v>
      </c>
      <c r="D52" s="1311">
        <v>0</v>
      </c>
      <c r="E52" s="1311">
        <v>0</v>
      </c>
      <c r="F52" s="1311">
        <v>0</v>
      </c>
    </row>
    <row r="53" spans="1:6">
      <c r="A53" s="1310" t="s">
        <v>43</v>
      </c>
      <c r="B53" s="1310" t="s">
        <v>44</v>
      </c>
      <c r="C53" s="1311">
        <v>32</v>
      </c>
      <c r="D53" s="1311">
        <v>679511.36</v>
      </c>
      <c r="E53" s="1311">
        <v>84</v>
      </c>
      <c r="F53" s="1311">
        <v>505875.98300000001</v>
      </c>
    </row>
    <row r="54" spans="1:6">
      <c r="A54" s="1310" t="s">
        <v>45</v>
      </c>
      <c r="B54" s="1310" t="s">
        <v>46</v>
      </c>
      <c r="C54" s="1311">
        <v>0</v>
      </c>
      <c r="D54" s="1311">
        <v>0</v>
      </c>
      <c r="E54" s="1311">
        <v>3</v>
      </c>
      <c r="F54" s="1311">
        <v>757105.87600000005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19</v>
      </c>
      <c r="D57" s="1311">
        <v>551543.90700000001</v>
      </c>
      <c r="E57" s="1311">
        <v>68</v>
      </c>
      <c r="F57" s="1311">
        <v>787426.32400000002</v>
      </c>
    </row>
    <row r="58" spans="1:6">
      <c r="A58" s="1310" t="s">
        <v>48</v>
      </c>
      <c r="B58" s="1310" t="s">
        <v>50</v>
      </c>
      <c r="C58" s="1311">
        <v>11</v>
      </c>
      <c r="D58" s="1311">
        <v>1462975.473</v>
      </c>
      <c r="E58" s="1311">
        <v>29</v>
      </c>
      <c r="F58" s="1311">
        <v>810481.05599999998</v>
      </c>
    </row>
    <row r="59" spans="1:6">
      <c r="A59" s="1310" t="s">
        <v>48</v>
      </c>
      <c r="B59" s="1310" t="s">
        <v>51</v>
      </c>
      <c r="C59" s="1311">
        <v>49</v>
      </c>
      <c r="D59" s="1311">
        <v>1413492.3559999999</v>
      </c>
      <c r="E59" s="1311">
        <v>131</v>
      </c>
      <c r="F59" s="1311">
        <v>2882845.6949999998</v>
      </c>
    </row>
    <row r="60" spans="1:6">
      <c r="A60" s="1310" t="s">
        <v>48</v>
      </c>
      <c r="B60" s="1310" t="s">
        <v>52</v>
      </c>
      <c r="C60" s="1311">
        <v>24</v>
      </c>
      <c r="D60" s="1311">
        <v>1285838.297</v>
      </c>
      <c r="E60" s="1311">
        <v>51</v>
      </c>
      <c r="F60" s="1311">
        <v>1287503.7960000001</v>
      </c>
    </row>
    <row r="61" spans="1:6">
      <c r="A61" s="1310" t="s">
        <v>48</v>
      </c>
      <c r="B61" s="1310" t="s">
        <v>53</v>
      </c>
      <c r="C61" s="1311">
        <v>70</v>
      </c>
      <c r="D61" s="1311">
        <v>2390388.932</v>
      </c>
      <c r="E61" s="1311">
        <v>202</v>
      </c>
      <c r="F61" s="1311">
        <v>1902835.811</v>
      </c>
    </row>
    <row r="62" spans="1:6">
      <c r="A62" s="1310" t="s">
        <v>48</v>
      </c>
      <c r="B62" s="1310" t="s">
        <v>54</v>
      </c>
      <c r="C62" s="1311">
        <v>7</v>
      </c>
      <c r="D62" s="1311">
        <v>389346.88</v>
      </c>
      <c r="E62" s="1311">
        <v>20</v>
      </c>
      <c r="F62" s="1311">
        <v>259540.14199999999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31381.144</v>
      </c>
      <c r="E65" s="1311">
        <v>0</v>
      </c>
      <c r="F65" s="1311">
        <v>0</v>
      </c>
    </row>
    <row r="66" spans="1:6">
      <c r="A66" s="1310" t="s">
        <v>55</v>
      </c>
      <c r="B66" s="1310" t="s">
        <v>57</v>
      </c>
      <c r="C66" s="1311">
        <v>0</v>
      </c>
      <c r="D66" s="1311">
        <v>0</v>
      </c>
      <c r="E66" s="1311">
        <v>15</v>
      </c>
      <c r="F66" s="1311">
        <v>155333.81</v>
      </c>
    </row>
    <row r="67" spans="1:6">
      <c r="A67" s="1312" t="s">
        <v>55</v>
      </c>
      <c r="B67" s="1312" t="s">
        <v>58</v>
      </c>
      <c r="C67" s="1311">
        <v>0</v>
      </c>
      <c r="D67" s="1311">
        <v>0</v>
      </c>
      <c r="E67" s="1311">
        <v>0</v>
      </c>
      <c r="F67" s="1311">
        <v>0</v>
      </c>
    </row>
    <row r="68" spans="1:6">
      <c r="A68" s="1305" t="s">
        <v>55</v>
      </c>
      <c r="B68" s="1305" t="s">
        <v>59</v>
      </c>
      <c r="C68" s="1314">
        <v>0</v>
      </c>
      <c r="D68" s="1314">
        <v>0</v>
      </c>
      <c r="E68" s="1314">
        <v>6</v>
      </c>
      <c r="F68" s="1314">
        <v>27828.267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88023141</v>
      </c>
      <c r="E73" s="453"/>
      <c r="F73" s="332"/>
    </row>
    <row r="74" spans="1:6">
      <c r="A74" s="1310" t="s">
        <v>63</v>
      </c>
      <c r="B74" s="1310" t="s">
        <v>648</v>
      </c>
      <c r="C74" s="1324" t="s">
        <v>650</v>
      </c>
      <c r="D74" s="1325">
        <v>8234550.51543744</v>
      </c>
      <c r="E74" s="453"/>
      <c r="F74" s="332"/>
    </row>
    <row r="75" spans="1:6">
      <c r="A75" s="1310" t="s">
        <v>64</v>
      </c>
      <c r="B75" s="1310" t="s">
        <v>647</v>
      </c>
      <c r="C75" s="1324" t="s">
        <v>651</v>
      </c>
      <c r="D75" s="1325">
        <v>28257816</v>
      </c>
      <c r="E75" s="453"/>
      <c r="F75" s="332"/>
    </row>
    <row r="76" spans="1:6">
      <c r="A76" s="1310" t="s">
        <v>64</v>
      </c>
      <c r="B76" s="1310" t="s">
        <v>648</v>
      </c>
      <c r="C76" s="1324" t="s">
        <v>652</v>
      </c>
      <c r="D76" s="1325">
        <v>536297.51543744002</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490946.96912512003</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6833.7337275985283</v>
      </c>
      <c r="C91" s="332"/>
      <c r="D91" s="332"/>
      <c r="E91" s="332"/>
      <c r="F91" s="332"/>
    </row>
    <row r="92" spans="1:6">
      <c r="A92" s="1305" t="s">
        <v>68</v>
      </c>
      <c r="B92" s="1306">
        <v>1493.2149186279771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252</v>
      </c>
      <c r="C97" s="332"/>
      <c r="D97" s="332"/>
      <c r="E97" s="332"/>
      <c r="F97" s="332"/>
    </row>
    <row r="98" spans="1:6">
      <c r="A98" s="1310" t="s">
        <v>71</v>
      </c>
      <c r="B98" s="1311">
        <v>2</v>
      </c>
      <c r="C98" s="332"/>
      <c r="D98" s="332"/>
      <c r="E98" s="332"/>
      <c r="F98" s="332"/>
    </row>
    <row r="99" spans="1:6">
      <c r="A99" s="1310" t="s">
        <v>72</v>
      </c>
      <c r="B99" s="1311">
        <v>29</v>
      </c>
      <c r="C99" s="332"/>
      <c r="D99" s="332"/>
      <c r="E99" s="332"/>
      <c r="F99" s="332"/>
    </row>
    <row r="100" spans="1:6">
      <c r="A100" s="1310" t="s">
        <v>73</v>
      </c>
      <c r="B100" s="1311">
        <v>157</v>
      </c>
      <c r="C100" s="332"/>
      <c r="D100" s="332"/>
      <c r="E100" s="332"/>
      <c r="F100" s="332"/>
    </row>
    <row r="101" spans="1:6">
      <c r="A101" s="1310" t="s">
        <v>74</v>
      </c>
      <c r="B101" s="1311">
        <v>59</v>
      </c>
      <c r="C101" s="332"/>
      <c r="D101" s="332"/>
      <c r="E101" s="332"/>
      <c r="F101" s="332"/>
    </row>
    <row r="102" spans="1:6">
      <c r="A102" s="1310" t="s">
        <v>75</v>
      </c>
      <c r="B102" s="1311">
        <v>51</v>
      </c>
      <c r="C102" s="332"/>
      <c r="D102" s="332"/>
      <c r="E102" s="332"/>
      <c r="F102" s="332"/>
    </row>
    <row r="103" spans="1:6">
      <c r="A103" s="1310" t="s">
        <v>76</v>
      </c>
      <c r="B103" s="1311">
        <v>84</v>
      </c>
      <c r="C103" s="332"/>
      <c r="D103" s="332"/>
      <c r="E103" s="332"/>
      <c r="F103" s="332"/>
    </row>
    <row r="104" spans="1:6">
      <c r="A104" s="1310" t="s">
        <v>77</v>
      </c>
      <c r="B104" s="1311">
        <v>3633</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16</v>
      </c>
      <c r="C123" s="1311">
        <v>74</v>
      </c>
      <c r="D123" s="332"/>
      <c r="E123" s="332"/>
      <c r="F123" s="332"/>
    </row>
    <row r="124" spans="1:6" s="43" customFormat="1">
      <c r="A124" s="1312" t="s">
        <v>88</v>
      </c>
      <c r="B124" s="1333">
        <v>1</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280</v>
      </c>
      <c r="C129" s="332"/>
      <c r="D129" s="332"/>
      <c r="E129" s="332"/>
      <c r="F129" s="332"/>
    </row>
    <row r="130" spans="1:6">
      <c r="A130" s="1310" t="s">
        <v>294</v>
      </c>
      <c r="B130" s="1311">
        <v>1</v>
      </c>
      <c r="C130" s="332"/>
      <c r="D130" s="332"/>
      <c r="E130" s="332"/>
      <c r="F130" s="332"/>
    </row>
    <row r="131" spans="1:6">
      <c r="A131" s="1310" t="s">
        <v>295</v>
      </c>
      <c r="B131" s="1311">
        <v>1</v>
      </c>
      <c r="C131" s="332"/>
      <c r="D131" s="332"/>
      <c r="E131" s="332"/>
      <c r="F131" s="332"/>
    </row>
    <row r="132" spans="1:6">
      <c r="A132" s="1305" t="s">
        <v>296</v>
      </c>
      <c r="B132" s="1306">
        <v>39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41628.41157669964</v>
      </c>
      <c r="C3" s="43" t="s">
        <v>169</v>
      </c>
      <c r="D3" s="43"/>
      <c r="E3" s="154"/>
      <c r="F3" s="43"/>
      <c r="G3" s="43"/>
      <c r="H3" s="43"/>
      <c r="I3" s="43"/>
      <c r="J3" s="43"/>
      <c r="K3" s="96"/>
    </row>
    <row r="4" spans="1:11">
      <c r="A4" s="360" t="s">
        <v>170</v>
      </c>
      <c r="B4" s="49">
        <f>IF(ISERROR('SEAP template'!B78+'SEAP template'!C78),0,'SEAP template'!B78+'SEAP template'!C78)</f>
        <v>8370.5986462265046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0.17656154485002043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757.10587600000008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757.10587600000008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0.17656154485002043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133.67578308158801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16560.351295</v>
      </c>
      <c r="C5" s="17">
        <f>IF(ISERROR('Eigen informatie GS &amp; warmtenet'!B59),0,'Eigen informatie GS &amp; warmtenet'!B59)</f>
        <v>0</v>
      </c>
      <c r="D5" s="30">
        <f>(SUM(HH_hh_gas_kWh,HH_rest_gas_kWh)/1000)*0.903</f>
        <v>27541.138432479001</v>
      </c>
      <c r="E5" s="17">
        <f>B46*B57</f>
        <v>4768.2402351880964</v>
      </c>
      <c r="F5" s="17">
        <f>B51*B62</f>
        <v>40853.876424642309</v>
      </c>
      <c r="G5" s="18"/>
      <c r="H5" s="17"/>
      <c r="I5" s="17"/>
      <c r="J5" s="17">
        <f>B50*B61+C50*C61</f>
        <v>0</v>
      </c>
      <c r="K5" s="17"/>
      <c r="L5" s="17"/>
      <c r="M5" s="17"/>
      <c r="N5" s="17">
        <f>B48*B59+C48*C59</f>
        <v>18182.893027595488</v>
      </c>
      <c r="O5" s="17">
        <f>B69*B70*B71</f>
        <v>706.28912610178338</v>
      </c>
      <c r="P5" s="17">
        <f>B77*B78*B79/1000-B77*B78*B79/1000/B80</f>
        <v>589.90172123036132</v>
      </c>
    </row>
    <row r="6" spans="1:16">
      <c r="A6" s="16" t="s">
        <v>612</v>
      </c>
      <c r="B6" s="786">
        <f>kWh_PV_kleiner_dan_10kW</f>
        <v>6833.7337275985283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23394.085022598527</v>
      </c>
      <c r="C8" s="21">
        <f>C5</f>
        <v>0</v>
      </c>
      <c r="D8" s="21">
        <f>D5</f>
        <v>27541.138432479001</v>
      </c>
      <c r="E8" s="21">
        <f>E5</f>
        <v>4768.2402351880964</v>
      </c>
      <c r="F8" s="21">
        <f>F5</f>
        <v>40853.876424642309</v>
      </c>
      <c r="G8" s="21"/>
      <c r="H8" s="21"/>
      <c r="I8" s="21"/>
      <c r="J8" s="21">
        <f>J5</f>
        <v>0</v>
      </c>
      <c r="K8" s="21"/>
      <c r="L8" s="21">
        <f>L5</f>
        <v>0</v>
      </c>
      <c r="M8" s="21">
        <f>M5</f>
        <v>0</v>
      </c>
      <c r="N8" s="21">
        <f>N5</f>
        <v>18182.893027595488</v>
      </c>
      <c r="O8" s="21">
        <f>O5</f>
        <v>706.28912610178338</v>
      </c>
      <c r="P8" s="21">
        <f>P5</f>
        <v>589.90172123036132</v>
      </c>
    </row>
    <row r="9" spans="1:16">
      <c r="B9" s="19"/>
      <c r="C9" s="19"/>
      <c r="D9" s="258"/>
      <c r="E9" s="19"/>
      <c r="F9" s="19"/>
      <c r="G9" s="19"/>
      <c r="H9" s="19"/>
      <c r="I9" s="19"/>
      <c r="J9" s="19"/>
      <c r="K9" s="19"/>
      <c r="L9" s="19"/>
      <c r="M9" s="19"/>
      <c r="N9" s="19"/>
      <c r="O9" s="19"/>
      <c r="P9" s="19"/>
    </row>
    <row r="10" spans="1:16">
      <c r="A10" s="24" t="s">
        <v>213</v>
      </c>
      <c r="B10" s="25">
        <f ca="1">'EF ele_warmte'!B12</f>
        <v>0.17656154485002043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4130.4957919427206</v>
      </c>
      <c r="C12" s="23">
        <f ca="1">C10*C8</f>
        <v>0</v>
      </c>
      <c r="D12" s="23">
        <f>D8*D10</f>
        <v>5563.309963360759</v>
      </c>
      <c r="E12" s="23">
        <f>E10*E8</f>
        <v>1082.390533387698</v>
      </c>
      <c r="F12" s="23">
        <f>F10*F8</f>
        <v>10907.985005379496</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252</v>
      </c>
      <c r="C18" s="166" t="s">
        <v>110</v>
      </c>
      <c r="D18" s="228"/>
      <c r="E18" s="15"/>
    </row>
    <row r="19" spans="1:7">
      <c r="A19" s="171" t="s">
        <v>71</v>
      </c>
      <c r="B19" s="37">
        <f>aantalw2001_ander</f>
        <v>2</v>
      </c>
      <c r="C19" s="166" t="s">
        <v>110</v>
      </c>
      <c r="D19" s="229"/>
      <c r="E19" s="15"/>
    </row>
    <row r="20" spans="1:7">
      <c r="A20" s="171" t="s">
        <v>72</v>
      </c>
      <c r="B20" s="37">
        <f>aantalw2001_propaan</f>
        <v>29</v>
      </c>
      <c r="C20" s="167">
        <f>IF(ISERROR(B20/SUM($B$20,$B$21,$B$22)*100),0,B20/SUM($B$20,$B$21,$B$22)*100)</f>
        <v>11.836734693877551</v>
      </c>
      <c r="D20" s="229"/>
      <c r="E20" s="15"/>
    </row>
    <row r="21" spans="1:7">
      <c r="A21" s="171" t="s">
        <v>73</v>
      </c>
      <c r="B21" s="37">
        <f>aantalw2001_elektriciteit</f>
        <v>157</v>
      </c>
      <c r="C21" s="167">
        <f>IF(ISERROR(B21/SUM($B$20,$B$21,$B$22)*100),0,B21/SUM($B$20,$B$21,$B$22)*100)</f>
        <v>64.08163265306122</v>
      </c>
      <c r="D21" s="229"/>
      <c r="E21" s="15"/>
    </row>
    <row r="22" spans="1:7">
      <c r="A22" s="171" t="s">
        <v>74</v>
      </c>
      <c r="B22" s="37">
        <f>aantalw2001_hout</f>
        <v>59</v>
      </c>
      <c r="C22" s="167">
        <f>IF(ISERROR(B22/SUM($B$20,$B$21,$B$22)*100),0,B22/SUM($B$20,$B$21,$B$22)*100)</f>
        <v>24.081632653061224</v>
      </c>
      <c r="D22" s="229"/>
      <c r="E22" s="15"/>
    </row>
    <row r="23" spans="1:7">
      <c r="A23" s="171" t="s">
        <v>75</v>
      </c>
      <c r="B23" s="37">
        <f>aantalw2001_niet_gespec</f>
        <v>51</v>
      </c>
      <c r="C23" s="166" t="s">
        <v>110</v>
      </c>
      <c r="D23" s="228"/>
      <c r="E23" s="15"/>
    </row>
    <row r="24" spans="1:7">
      <c r="A24" s="171" t="s">
        <v>76</v>
      </c>
      <c r="B24" s="37">
        <f>aantalw2001_steenkool</f>
        <v>84</v>
      </c>
      <c r="C24" s="166" t="s">
        <v>110</v>
      </c>
      <c r="D24" s="229"/>
      <c r="E24" s="15"/>
    </row>
    <row r="25" spans="1:7">
      <c r="A25" s="171" t="s">
        <v>77</v>
      </c>
      <c r="B25" s="37">
        <f>aantalw2001_stookolie</f>
        <v>3633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5246</v>
      </c>
      <c r="C28" s="36"/>
      <c r="D28" s="228"/>
    </row>
    <row r="29" spans="1:7" s="15" customFormat="1">
      <c r="A29" s="230" t="s">
        <v>839</v>
      </c>
      <c r="B29" s="37">
        <f>SUM(HH_hh_gas_aantal,HH_rest_gas_aantal)</f>
        <v>2100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2100</v>
      </c>
      <c r="C32" s="167">
        <f>IF(ISERROR(B32/SUM($B$32,$B$34,$B$35,$B$36,$B$38,$B$39)*100),0,B32/SUM($B$32,$B$34,$B$35,$B$36,$B$38,$B$39)*100)</f>
        <v>40.462427745664741</v>
      </c>
      <c r="D32" s="233"/>
      <c r="G32" s="15"/>
    </row>
    <row r="33" spans="1:7">
      <c r="A33" s="171" t="s">
        <v>71</v>
      </c>
      <c r="B33" s="34" t="s">
        <v>110</v>
      </c>
      <c r="C33" s="167"/>
      <c r="D33" s="233"/>
      <c r="G33" s="15"/>
    </row>
    <row r="34" spans="1:7">
      <c r="A34" s="171" t="s">
        <v>72</v>
      </c>
      <c r="B34" s="33">
        <f>IF((($B$28-$B$32-$B$39-$B$77-$B$38)*C20/100)&lt;0,0,($B$28-$B$32-$B$39-$B$77-$B$38)*C20/100)</f>
        <v>132.59510204081633</v>
      </c>
      <c r="C34" s="167">
        <f>IF(ISERROR(B34/SUM($B$32,$B$34,$B$35,$B$36,$B$38,$B$39)*100),0,B34/SUM($B$32,$B$34,$B$35,$B$36,$B$38,$B$39)*100)</f>
        <v>2.5548189217883688</v>
      </c>
      <c r="D34" s="233"/>
      <c r="G34" s="15"/>
    </row>
    <row r="35" spans="1:7">
      <c r="A35" s="171" t="s">
        <v>73</v>
      </c>
      <c r="B35" s="33">
        <f>IF((($B$28-$B$32-$B$39-$B$77-$B$38)*C21/100)&lt;0,0,($B$28-$B$32-$B$39-$B$77-$B$38)*C21/100)</f>
        <v>717.84244897959184</v>
      </c>
      <c r="C35" s="167">
        <f>IF(ISERROR(B35/SUM($B$32,$B$34,$B$35,$B$36,$B$38,$B$39)*100),0,B35/SUM($B$32,$B$34,$B$35,$B$36,$B$38,$B$39)*100)</f>
        <v>13.831261059337031</v>
      </c>
      <c r="D35" s="233"/>
      <c r="G35" s="15"/>
    </row>
    <row r="36" spans="1:7">
      <c r="A36" s="171" t="s">
        <v>74</v>
      </c>
      <c r="B36" s="33">
        <f>IF((($B$28-$B$32-$B$39-$B$77-$B$38)*C22/100)&lt;0,0,($B$28-$B$32-$B$39-$B$77-$B$38)*C22/100)</f>
        <v>269.76244897959185</v>
      </c>
      <c r="C36" s="167">
        <f>IF(ISERROR(B36/SUM($B$32,$B$34,$B$35,$B$36,$B$38,$B$39)*100),0,B36/SUM($B$32,$B$34,$B$35,$B$36,$B$38,$B$39)*100)</f>
        <v>5.1977350477763364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1969.8</v>
      </c>
      <c r="C39" s="167">
        <f>IF(ISERROR(B39/SUM($B$32,$B$34,$B$35,$B$36,$B$38,$B$39)*100),0,B39/SUM($B$32,$B$34,$B$35,$B$36,$B$38,$B$39)*100)</f>
        <v>37.953757225433527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2100</v>
      </c>
      <c r="C44" s="34" t="s">
        <v>110</v>
      </c>
      <c r="D44" s="174"/>
    </row>
    <row r="45" spans="1:7">
      <c r="A45" s="171" t="s">
        <v>71</v>
      </c>
      <c r="B45" s="33" t="str">
        <f t="shared" si="0"/>
        <v>-</v>
      </c>
      <c r="C45" s="34" t="s">
        <v>110</v>
      </c>
      <c r="D45" s="174"/>
    </row>
    <row r="46" spans="1:7">
      <c r="A46" s="171" t="s">
        <v>72</v>
      </c>
      <c r="B46" s="33">
        <f t="shared" si="0"/>
        <v>132.59510204081633</v>
      </c>
      <c r="C46" s="34" t="s">
        <v>110</v>
      </c>
      <c r="D46" s="174"/>
    </row>
    <row r="47" spans="1:7">
      <c r="A47" s="171" t="s">
        <v>73</v>
      </c>
      <c r="B47" s="33">
        <f t="shared" si="0"/>
        <v>717.84244897959184</v>
      </c>
      <c r="C47" s="34" t="s">
        <v>110</v>
      </c>
      <c r="D47" s="174"/>
    </row>
    <row r="48" spans="1:7">
      <c r="A48" s="171" t="s">
        <v>74</v>
      </c>
      <c r="B48" s="33">
        <f t="shared" si="0"/>
        <v>269.76244897959185</v>
      </c>
      <c r="C48" s="33">
        <f>B48*10</f>
        <v>2697.6244897959186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1969.8</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356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7930.6328239999993</v>
      </c>
      <c r="C5" s="17">
        <f>IF(ISERROR('Eigen informatie GS &amp; warmtenet'!B60),0,'Eigen informatie GS &amp; warmtenet'!B60)</f>
        <v>0</v>
      </c>
      <c r="D5" s="30">
        <f>SUM(D6:D12)</f>
        <v>6766.7080180350004</v>
      </c>
      <c r="E5" s="17">
        <f>SUM(E6:E12)</f>
        <v>21.865184252862328</v>
      </c>
      <c r="F5" s="17">
        <f>SUM(F6:F12)</f>
        <v>1148.2662661950517</v>
      </c>
      <c r="G5" s="18"/>
      <c r="H5" s="17"/>
      <c r="I5" s="17"/>
      <c r="J5" s="17">
        <f>SUM(J6:J12)</f>
        <v>7.7764807234263628E-3</v>
      </c>
      <c r="K5" s="17"/>
      <c r="L5" s="17"/>
      <c r="M5" s="17"/>
      <c r="N5" s="17">
        <f>SUM(N6:N12)</f>
        <v>290.15074853569587</v>
      </c>
      <c r="O5" s="17">
        <f>B38*B39*B40</f>
        <v>4.8972607658411542</v>
      </c>
      <c r="P5" s="17">
        <f>B46*B47*B48/1000-B46*B47*B48/1000/B49</f>
        <v>105.07827661299004</v>
      </c>
      <c r="R5" s="32"/>
    </row>
    <row r="6" spans="1:18">
      <c r="A6" s="32" t="s">
        <v>53</v>
      </c>
      <c r="B6" s="37">
        <f>B26</f>
        <v>1902.8358109999999</v>
      </c>
      <c r="C6" s="33"/>
      <c r="D6" s="37">
        <f>IF(ISERROR(TER_kantoor_gas_kWh/1000),0,TER_kantoor_gas_kWh/1000)*0.903</f>
        <v>2158.5212055960001</v>
      </c>
      <c r="E6" s="33">
        <f>$C$26*'E Balans VL '!I12/100/3.6*1000000</f>
        <v>0.45587423063328364</v>
      </c>
      <c r="F6" s="33">
        <f>$C$26*('E Balans VL '!L12+'E Balans VL '!N12)/100/3.6*1000000</f>
        <v>180.44368501676522</v>
      </c>
      <c r="G6" s="34"/>
      <c r="H6" s="33"/>
      <c r="I6" s="33"/>
      <c r="J6" s="33">
        <f>$C$26*('E Balans VL '!D12+'E Balans VL '!E12)/100/3.6*1000000</f>
        <v>0</v>
      </c>
      <c r="K6" s="33"/>
      <c r="L6" s="33"/>
      <c r="M6" s="33"/>
      <c r="N6" s="33">
        <f>$C$26*'E Balans VL '!Y12/100/3.6*1000000</f>
        <v>0.96654217028730605</v>
      </c>
      <c r="O6" s="33"/>
      <c r="P6" s="33"/>
      <c r="R6" s="32"/>
    </row>
    <row r="7" spans="1:18">
      <c r="A7" s="32" t="s">
        <v>52</v>
      </c>
      <c r="B7" s="37">
        <f t="shared" ref="B7:B12" si="0">B27</f>
        <v>1287.5037960000002</v>
      </c>
      <c r="C7" s="33"/>
      <c r="D7" s="37">
        <f>IF(ISERROR(TER_horeca_gas_kWh/1000),0,TER_horeca_gas_kWh/1000)*0.903</f>
        <v>1161.1119821910002</v>
      </c>
      <c r="E7" s="33">
        <f>$C$27*'E Balans VL '!I9/100/3.6*1000000</f>
        <v>0</v>
      </c>
      <c r="F7" s="33">
        <f>$C$27*('E Balans VL '!L9+'E Balans VL '!N9)/100/3.6*1000000</f>
        <v>105.57228475060515</v>
      </c>
      <c r="G7" s="34"/>
      <c r="H7" s="33"/>
      <c r="I7" s="33"/>
      <c r="J7" s="33">
        <f>$C$27*('E Balans VL '!D9+'E Balans VL '!E9)/100/3.6*1000000</f>
        <v>0</v>
      </c>
      <c r="K7" s="33"/>
      <c r="L7" s="33"/>
      <c r="M7" s="33"/>
      <c r="N7" s="33">
        <f>$C$27*'E Balans VL '!Y9/100/3.6*1000000</f>
        <v>0.39467164158311069</v>
      </c>
      <c r="O7" s="33"/>
      <c r="P7" s="33"/>
      <c r="R7" s="32"/>
    </row>
    <row r="8" spans="1:18">
      <c r="A8" s="6" t="s">
        <v>51</v>
      </c>
      <c r="B8" s="37">
        <f t="shared" si="0"/>
        <v>2882.845695</v>
      </c>
      <c r="C8" s="33"/>
      <c r="D8" s="37">
        <f>IF(ISERROR(TER_handel_gas_kWh/1000),0,TER_handel_gas_kWh/1000)*0.903</f>
        <v>1276.3835974680001</v>
      </c>
      <c r="E8" s="33">
        <f>$C$28*'E Balans VL '!I13/100/3.6*1000000</f>
        <v>10.131626989666817</v>
      </c>
      <c r="F8" s="33">
        <f>$C$28*('E Balans VL '!L13+'E Balans VL '!N13)/100/3.6*1000000</f>
        <v>263.77520398479243</v>
      </c>
      <c r="G8" s="34"/>
      <c r="H8" s="33"/>
      <c r="I8" s="33"/>
      <c r="J8" s="33">
        <f>$C$28*('E Balans VL '!D13+'E Balans VL '!E13)/100/3.6*1000000</f>
        <v>0</v>
      </c>
      <c r="K8" s="33"/>
      <c r="L8" s="33"/>
      <c r="M8" s="33"/>
      <c r="N8" s="33">
        <f>$C$28*'E Balans VL '!Y13/100/3.6*1000000</f>
        <v>1.0440425995770155</v>
      </c>
      <c r="O8" s="33"/>
      <c r="P8" s="33"/>
      <c r="R8" s="32"/>
    </row>
    <row r="9" spans="1:18">
      <c r="A9" s="32" t="s">
        <v>50</v>
      </c>
      <c r="B9" s="37">
        <f t="shared" si="0"/>
        <v>810.48105599999997</v>
      </c>
      <c r="C9" s="33"/>
      <c r="D9" s="37">
        <f>IF(ISERROR(TER_gezond_gas_kWh/1000),0,TER_gezond_gas_kWh/1000)*0.903</f>
        <v>1321.066852119</v>
      </c>
      <c r="E9" s="33">
        <f>$C$29*'E Balans VL '!I10/100/3.6*1000000</f>
        <v>0</v>
      </c>
      <c r="F9" s="33">
        <f>$C$29*('E Balans VL '!L10+'E Balans VL '!N10)/100/3.6*1000000</f>
        <v>99.350094643886962</v>
      </c>
      <c r="G9" s="34"/>
      <c r="H9" s="33"/>
      <c r="I9" s="33"/>
      <c r="J9" s="33">
        <f>$C$29*('E Balans VL '!D10+'E Balans VL '!E10)/100/3.6*1000000</f>
        <v>0</v>
      </c>
      <c r="K9" s="33"/>
      <c r="L9" s="33"/>
      <c r="M9" s="33"/>
      <c r="N9" s="33">
        <f>$C$29*'E Balans VL '!Y10/100/3.6*1000000</f>
        <v>5.9767330003571857</v>
      </c>
      <c r="O9" s="33"/>
      <c r="P9" s="33"/>
      <c r="R9" s="32"/>
    </row>
    <row r="10" spans="1:18">
      <c r="A10" s="32" t="s">
        <v>49</v>
      </c>
      <c r="B10" s="37">
        <f t="shared" si="0"/>
        <v>787.42632400000002</v>
      </c>
      <c r="C10" s="33"/>
      <c r="D10" s="37">
        <f>IF(ISERROR(TER_ander_gas_kWh/1000),0,TER_ander_gas_kWh/1000)*0.903</f>
        <v>498.04414802100001</v>
      </c>
      <c r="E10" s="33">
        <f>$C$30*'E Balans VL '!I14/100/3.6*1000000</f>
        <v>11.27768303256223</v>
      </c>
      <c r="F10" s="33">
        <f>$C$30*('E Balans VL '!L14+'E Balans VL '!N14)/100/3.6*1000000</f>
        <v>468.78166448805598</v>
      </c>
      <c r="G10" s="34"/>
      <c r="H10" s="33"/>
      <c r="I10" s="33"/>
      <c r="J10" s="33">
        <f>$C$30*('E Balans VL '!D14+'E Balans VL '!E14)/100/3.6*1000000</f>
        <v>7.7764807234263628E-3</v>
      </c>
      <c r="K10" s="33"/>
      <c r="L10" s="33"/>
      <c r="M10" s="33"/>
      <c r="N10" s="33">
        <f>$C$30*'E Balans VL '!Y14/100/3.6*1000000</f>
        <v>281.03792388732967</v>
      </c>
      <c r="O10" s="33"/>
      <c r="P10" s="33"/>
      <c r="R10" s="32"/>
    </row>
    <row r="11" spans="1:18">
      <c r="A11" s="32" t="s">
        <v>54</v>
      </c>
      <c r="B11" s="37">
        <f t="shared" si="0"/>
        <v>259.540142</v>
      </c>
      <c r="C11" s="33"/>
      <c r="D11" s="37">
        <f>IF(ISERROR(TER_onderwijs_gas_kWh/1000),0,TER_onderwijs_gas_kWh/1000)*0.903</f>
        <v>351.58023264000002</v>
      </c>
      <c r="E11" s="33">
        <f>$C$31*'E Balans VL '!I11/100/3.6*1000000</f>
        <v>0</v>
      </c>
      <c r="F11" s="33">
        <f>$C$31*('E Balans VL '!L11+'E Balans VL '!N11)/100/3.6*1000000</f>
        <v>30.343333310946083</v>
      </c>
      <c r="G11" s="34"/>
      <c r="H11" s="33"/>
      <c r="I11" s="33"/>
      <c r="J11" s="33">
        <f>$C$31*('E Balans VL '!D11+'E Balans VL '!E11)/100/3.6*1000000</f>
        <v>0</v>
      </c>
      <c r="K11" s="33"/>
      <c r="L11" s="33"/>
      <c r="M11" s="33"/>
      <c r="N11" s="33">
        <f>$C$31*'E Balans VL '!Y11/100/3.6*1000000</f>
        <v>0.73083523656155847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7930.6328239999993</v>
      </c>
      <c r="C16" s="21">
        <f t="shared" ca="1" si="1"/>
        <v>0</v>
      </c>
      <c r="D16" s="21">
        <f t="shared" ca="1" si="1"/>
        <v>6766.7080180350004</v>
      </c>
      <c r="E16" s="21">
        <f t="shared" si="1"/>
        <v>21.865184252862328</v>
      </c>
      <c r="F16" s="21">
        <f t="shared" ca="1" si="1"/>
        <v>1148.2662661950517</v>
      </c>
      <c r="G16" s="21">
        <f t="shared" si="1"/>
        <v>0</v>
      </c>
      <c r="H16" s="21">
        <f t="shared" si="1"/>
        <v>0</v>
      </c>
      <c r="I16" s="21">
        <f t="shared" si="1"/>
        <v>0</v>
      </c>
      <c r="J16" s="21">
        <f t="shared" si="1"/>
        <v>7.7764807234263628E-3</v>
      </c>
      <c r="K16" s="21">
        <f t="shared" si="1"/>
        <v>0</v>
      </c>
      <c r="L16" s="21">
        <f t="shared" ca="1" si="1"/>
        <v>0</v>
      </c>
      <c r="M16" s="21">
        <f t="shared" si="1"/>
        <v>0</v>
      </c>
      <c r="N16" s="21">
        <f t="shared" ca="1" si="1"/>
        <v>290.15074853569587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0.17656154485002043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1400.24478304372</v>
      </c>
      <c r="C20" s="23">
        <f t="shared" ref="C20:P20" ca="1" si="2">C16*C18</f>
        <v>0</v>
      </c>
      <c r="D20" s="23">
        <f t="shared" ca="1" si="2"/>
        <v>1366.8750196430701</v>
      </c>
      <c r="E20" s="23">
        <f t="shared" si="2"/>
        <v>4.9633968253997489</v>
      </c>
      <c r="F20" s="23">
        <f t="shared" ca="1" si="2"/>
        <v>306.58709307407884</v>
      </c>
      <c r="G20" s="23">
        <f t="shared" si="2"/>
        <v>0</v>
      </c>
      <c r="H20" s="23">
        <f t="shared" si="2"/>
        <v>0</v>
      </c>
      <c r="I20" s="23">
        <f t="shared" si="2"/>
        <v>0</v>
      </c>
      <c r="J20" s="23">
        <f t="shared" si="2"/>
        <v>2.7528741760929321E-3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1902.8358109999999</v>
      </c>
      <c r="C26" s="39">
        <f>IF(ISERROR(B26*3.6/1000000/'E Balans VL '!Z12*100),0,B26*3.6/1000000/'E Balans VL '!Z12*100)</f>
        <v>5.3665008834551185E-2</v>
      </c>
      <c r="D26" s="237" t="s">
        <v>702</v>
      </c>
      <c r="F26" s="6"/>
    </row>
    <row r="27" spans="1:18">
      <c r="A27" s="231" t="s">
        <v>52</v>
      </c>
      <c r="B27" s="33">
        <f>IF(ISERROR(TER_horeca_ele_kWh/1000),0,TER_horeca_ele_kWh/1000)</f>
        <v>1287.5037960000002</v>
      </c>
      <c r="C27" s="39">
        <f>IF(ISERROR(B27*3.6/1000000/'E Balans VL '!Z9*100),0,B27*3.6/1000000/'E Balans VL '!Z9*100)</f>
        <v>9.5452589904833351E-2</v>
      </c>
      <c r="D27" s="237" t="s">
        <v>702</v>
      </c>
      <c r="F27" s="6"/>
    </row>
    <row r="28" spans="1:18">
      <c r="A28" s="171" t="s">
        <v>51</v>
      </c>
      <c r="B28" s="33">
        <f>IF(ISERROR(TER_handel_ele_kWh/1000),0,TER_handel_ele_kWh/1000)</f>
        <v>2882.845695</v>
      </c>
      <c r="C28" s="39">
        <f>IF(ISERROR(B28*3.6/1000000/'E Balans VL '!Z13*100),0,B28*3.6/1000000/'E Balans VL '!Z13*100)</f>
        <v>8.6363202800652281E-2</v>
      </c>
      <c r="D28" s="237" t="s">
        <v>702</v>
      </c>
      <c r="F28" s="6"/>
    </row>
    <row r="29" spans="1:18">
      <c r="A29" s="231" t="s">
        <v>50</v>
      </c>
      <c r="B29" s="33">
        <f>IF(ISERROR(TER_gezond_ele_kWh/1000),0,TER_gezond_ele_kWh/1000)</f>
        <v>810.48105599999997</v>
      </c>
      <c r="C29" s="39">
        <f>IF(ISERROR(B29*3.6/1000000/'E Balans VL '!Z10*100),0,B29*3.6/1000000/'E Balans VL '!Z10*100)</f>
        <v>8.0140684483799629E-2</v>
      </c>
      <c r="D29" s="237" t="s">
        <v>702</v>
      </c>
      <c r="F29" s="6"/>
    </row>
    <row r="30" spans="1:18">
      <c r="A30" s="231" t="s">
        <v>49</v>
      </c>
      <c r="B30" s="33">
        <f>IF(ISERROR(TER_ander_ele_kWh/1000),0,TER_ander_ele_kWh/1000)</f>
        <v>787.42632400000002</v>
      </c>
      <c r="C30" s="39">
        <f>IF(ISERROR(B30*3.6/1000000/'E Balans VL '!Z14*100),0,B30*3.6/1000000/'E Balans VL '!Z14*100)</f>
        <v>3.1849067809254727E-2</v>
      </c>
      <c r="D30" s="237" t="s">
        <v>702</v>
      </c>
      <c r="F30" s="6"/>
    </row>
    <row r="31" spans="1:18">
      <c r="A31" s="231" t="s">
        <v>54</v>
      </c>
      <c r="B31" s="33">
        <f>IF(ISERROR(TER_onderwijs_ele_kWh/1000),0,TER_onderwijs_ele_kWh/1000)</f>
        <v>259.540142</v>
      </c>
      <c r="C31" s="39">
        <f>IF(ISERROR(B31*3.6/1000000/'E Balans VL '!Z11*100),0,B31*3.6/1000000/'E Balans VL '!Z11*100)</f>
        <v>7.1307027901047731E-2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6582.2269580000002</v>
      </c>
      <c r="C5" s="17">
        <f>IF(ISERROR('Eigen informatie GS &amp; warmtenet'!B61),0,'Eigen informatie GS &amp; warmtenet'!B61)</f>
        <v>0</v>
      </c>
      <c r="D5" s="30">
        <f>SUM(D6:D15)</f>
        <v>1800.5932315140001</v>
      </c>
      <c r="E5" s="17">
        <f>SUM(E6:E15)</f>
        <v>25.954043106096599</v>
      </c>
      <c r="F5" s="17">
        <f>SUM(F6:F15)</f>
        <v>1614.8859868910351</v>
      </c>
      <c r="G5" s="18"/>
      <c r="H5" s="17"/>
      <c r="I5" s="17"/>
      <c r="J5" s="17">
        <f>SUM(J6:J15)</f>
        <v>3.0358093234042922</v>
      </c>
      <c r="K5" s="17"/>
      <c r="L5" s="17"/>
      <c r="M5" s="17"/>
      <c r="N5" s="17">
        <f>SUM(N6:N15)</f>
        <v>176.40788417874828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3418.085004</v>
      </c>
      <c r="C8" s="33"/>
      <c r="D8" s="37">
        <f>IF( ISERROR(IND_metaal_Gas_kWH/1000),0,IND_metaal_Gas_kWH/1000)*0.903</f>
        <v>202.99227524099999</v>
      </c>
      <c r="E8" s="33">
        <f>C30*'E Balans VL '!I18/100/3.6*1000000</f>
        <v>17.234580975335057</v>
      </c>
      <c r="F8" s="33">
        <f>C30*'E Balans VL '!L18/100/3.6*1000000+C30*'E Balans VL '!N18/100/3.6*1000000</f>
        <v>233.53055216259258</v>
      </c>
      <c r="G8" s="34"/>
      <c r="H8" s="33"/>
      <c r="I8" s="33"/>
      <c r="J8" s="40">
        <f>C30*'E Balans VL '!D18/100/3.6*1000000+C30*'E Balans VL '!E18/100/3.6*1000000</f>
        <v>3.0304239224529392</v>
      </c>
      <c r="K8" s="33"/>
      <c r="L8" s="33"/>
      <c r="M8" s="33"/>
      <c r="N8" s="33">
        <f>C30*'E Balans VL '!Y18/100/3.6*1000000</f>
        <v>45.426369987878743</v>
      </c>
      <c r="O8" s="33"/>
      <c r="P8" s="33"/>
      <c r="R8" s="32"/>
    </row>
    <row r="9" spans="1:18">
      <c r="A9" s="6" t="s">
        <v>32</v>
      </c>
      <c r="B9" s="37">
        <f t="shared" si="0"/>
        <v>2229.3400499999998</v>
      </c>
      <c r="C9" s="33"/>
      <c r="D9" s="37">
        <f>IF( ISERROR(IND_andere_gas_kWh/1000),0,IND_andere_gas_kWh/1000)*0.903</f>
        <v>1460.4623489820001</v>
      </c>
      <c r="E9" s="33">
        <f>C31*'E Balans VL '!I19/100/3.6*1000000</f>
        <v>7.0274067271965492</v>
      </c>
      <c r="F9" s="33">
        <f>C31*'E Balans VL '!L19/100/3.6*1000000+C31*'E Balans VL '!N19/100/3.6*1000000</f>
        <v>1364.7082154402124</v>
      </c>
      <c r="G9" s="34"/>
      <c r="H9" s="33"/>
      <c r="I9" s="33"/>
      <c r="J9" s="40">
        <f>C31*'E Balans VL '!D19/100/3.6*1000000+C31*'E Balans VL '!E19/100/3.6*1000000</f>
        <v>0</v>
      </c>
      <c r="K9" s="33"/>
      <c r="L9" s="33"/>
      <c r="M9" s="33"/>
      <c r="N9" s="33">
        <f>C31*'E Balans VL '!Y19/100/3.6*1000000</f>
        <v>93.479255340931772</v>
      </c>
      <c r="O9" s="33"/>
      <c r="P9" s="33"/>
      <c r="R9" s="32"/>
    </row>
    <row r="10" spans="1:18">
      <c r="A10" s="6" t="s">
        <v>40</v>
      </c>
      <c r="B10" s="37">
        <f t="shared" si="0"/>
        <v>842.19702899999993</v>
      </c>
      <c r="C10" s="33"/>
      <c r="D10" s="37">
        <f>IF( ISERROR(IND_voed_gas_kWh/1000),0,IND_voed_gas_kWh/1000)*0.903</f>
        <v>0</v>
      </c>
      <c r="E10" s="33">
        <f>C32*'E Balans VL '!I20/100/3.6*1000000</f>
        <v>1.3422255389125251</v>
      </c>
      <c r="F10" s="33">
        <f>C32*'E Balans VL '!L20/100/3.6*1000000+C32*'E Balans VL '!N20/100/3.6*1000000</f>
        <v>13.683655792752134</v>
      </c>
      <c r="G10" s="34"/>
      <c r="H10" s="33"/>
      <c r="I10" s="33"/>
      <c r="J10" s="40">
        <f>C32*'E Balans VL '!D20/100/3.6*1000000+C32*'E Balans VL '!E20/100/3.6*1000000</f>
        <v>0</v>
      </c>
      <c r="K10" s="33"/>
      <c r="L10" s="33"/>
      <c r="M10" s="33"/>
      <c r="N10" s="33">
        <f>C32*'E Balans VL '!Y20/100/3.6*1000000</f>
        <v>26.600788421013892</v>
      </c>
      <c r="O10" s="33"/>
      <c r="P10" s="33"/>
      <c r="R10" s="32"/>
    </row>
    <row r="11" spans="1:18">
      <c r="A11" s="6" t="s">
        <v>39</v>
      </c>
      <c r="B11" s="37">
        <f t="shared" si="0"/>
        <v>36.841078000000003</v>
      </c>
      <c r="C11" s="33"/>
      <c r="D11" s="37">
        <f>IF( ISERROR(IND_textiel_gas_kWh/1000),0,IND_textiel_gas_kWh/1000)*0.903</f>
        <v>0</v>
      </c>
      <c r="E11" s="33">
        <f>C33*'E Balans VL '!I21/100/3.6*1000000</f>
        <v>5.3449672257801346E-2</v>
      </c>
      <c r="F11" s="33">
        <f>C33*'E Balans VL '!L21/100/3.6*1000000+C33*'E Balans VL '!N21/100/3.6*1000000</f>
        <v>0.72100356748487004</v>
      </c>
      <c r="G11" s="34"/>
      <c r="H11" s="33"/>
      <c r="I11" s="33"/>
      <c r="J11" s="40">
        <f>C33*'E Balans VL '!D21/100/3.6*1000000+C33*'E Balans VL '!E21/100/3.6*1000000</f>
        <v>0</v>
      </c>
      <c r="K11" s="33"/>
      <c r="L11" s="33"/>
      <c r="M11" s="33"/>
      <c r="N11" s="33">
        <f>C33*'E Balans VL '!Y21/100/3.6*1000000</f>
        <v>1.7948137077473942</v>
      </c>
      <c r="O11" s="33"/>
      <c r="P11" s="33"/>
      <c r="R11" s="32"/>
    </row>
    <row r="12" spans="1:18">
      <c r="A12" s="6" t="s">
        <v>36</v>
      </c>
      <c r="B12" s="37">
        <f t="shared" si="0"/>
        <v>53.125911000000002</v>
      </c>
      <c r="C12" s="33"/>
      <c r="D12" s="37">
        <f>IF( ISERROR(IND_min_gas_kWh/1000),0,IND_min_gas_kWh/1000)*0.903</f>
        <v>45.572528147999996</v>
      </c>
      <c r="E12" s="33">
        <f>C34*'E Balans VL '!I22/100/3.6*1000000</f>
        <v>0.22989020255681478</v>
      </c>
      <c r="F12" s="33">
        <f>C34*'E Balans VL '!L22/100/3.6*1000000+C34*'E Balans VL '!N22/100/3.6*1000000</f>
        <v>2.0284128621636266</v>
      </c>
      <c r="G12" s="34"/>
      <c r="H12" s="33"/>
      <c r="I12" s="33"/>
      <c r="J12" s="40">
        <f>C34*'E Balans VL '!D22/100/3.6*1000000+C34*'E Balans VL '!E22/100/3.6*1000000</f>
        <v>0</v>
      </c>
      <c r="K12" s="33"/>
      <c r="L12" s="33"/>
      <c r="M12" s="33"/>
      <c r="N12" s="33">
        <f>C34*'E Balans VL '!Y22/100/3.6*1000000</f>
        <v>9.0620836796966557</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2.637886</v>
      </c>
      <c r="C15" s="33"/>
      <c r="D15" s="37">
        <f>IF( ISERROR(IND_rest_gas_kWh/1000),0,IND_rest_gas_kWh/1000)*0.903</f>
        <v>91.56607914300001</v>
      </c>
      <c r="E15" s="33">
        <f>C37*'E Balans VL '!I15/100/3.6*1000000</f>
        <v>6.6489989837852315E-2</v>
      </c>
      <c r="F15" s="33">
        <f>C37*'E Balans VL '!L15/100/3.6*1000000+C37*'E Balans VL '!N15/100/3.6*1000000</f>
        <v>0.21414706582970638</v>
      </c>
      <c r="G15" s="34"/>
      <c r="H15" s="33"/>
      <c r="I15" s="33"/>
      <c r="J15" s="40">
        <f>C37*'E Balans VL '!D15/100/3.6*1000000+C37*'E Balans VL '!E15/100/3.6*1000000</f>
        <v>5.3854009513528223E-3</v>
      </c>
      <c r="K15" s="33"/>
      <c r="L15" s="33"/>
      <c r="M15" s="33"/>
      <c r="N15" s="33">
        <f>C37*'E Balans VL '!Y15/100/3.6*1000000</f>
        <v>4.4573041479817416E-2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6582.2269580000002</v>
      </c>
      <c r="C18" s="21">
        <f>C5+C16</f>
        <v>0</v>
      </c>
      <c r="D18" s="21">
        <f>MAX((D5+D16),0)</f>
        <v>1800.5932315140001</v>
      </c>
      <c r="E18" s="21">
        <f>MAX((E5+E16),0)</f>
        <v>25.954043106096599</v>
      </c>
      <c r="F18" s="21">
        <f>MAX((F5+F16),0)</f>
        <v>1614.8859868910351</v>
      </c>
      <c r="G18" s="21"/>
      <c r="H18" s="21"/>
      <c r="I18" s="21"/>
      <c r="J18" s="21">
        <f>MAX((J5+J16),0)</f>
        <v>3.0358093234042922</v>
      </c>
      <c r="K18" s="21"/>
      <c r="L18" s="21">
        <f>MAX((L5+L16),0)</f>
        <v>0</v>
      </c>
      <c r="M18" s="21"/>
      <c r="N18" s="21">
        <f>MAX((N5+N16),0)</f>
        <v>176.40788417874828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0.17656154485002043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1162.1681602579306</v>
      </c>
      <c r="C22" s="23">
        <f ca="1">C18*C20</f>
        <v>0</v>
      </c>
      <c r="D22" s="23">
        <f>D18*D20</f>
        <v>363.71983276582802</v>
      </c>
      <c r="E22" s="23">
        <f>E18*E20</f>
        <v>5.8915677850839279</v>
      </c>
      <c r="F22" s="23">
        <f>F18*F20</f>
        <v>431.17455849990642</v>
      </c>
      <c r="G22" s="23"/>
      <c r="H22" s="23"/>
      <c r="I22" s="23"/>
      <c r="J22" s="23">
        <f>J18*J20</f>
        <v>1.0746765004851193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3418.085004</v>
      </c>
      <c r="C30" s="39">
        <f>IF(ISERROR(B30*3.6/1000000/'E Balans VL '!Z18*100),0,B30*3.6/1000000/'E Balans VL '!Z18*100)</f>
        <v>0.16966603609378769</v>
      </c>
      <c r="D30" s="237" t="s">
        <v>702</v>
      </c>
    </row>
    <row r="31" spans="1:18">
      <c r="A31" s="6" t="s">
        <v>32</v>
      </c>
      <c r="B31" s="37">
        <f>IF( ISERROR(IND_ander_ele_kWh/1000),0,IND_ander_ele_kWh/1000)</f>
        <v>2229.3400499999998</v>
      </c>
      <c r="C31" s="39">
        <f>IF(ISERROR(B31*3.6/1000000/'E Balans VL '!Z19*100),0,B31*3.6/1000000/'E Balans VL '!Z19*100)</f>
        <v>7.5228802842233142E-2</v>
      </c>
      <c r="D31" s="237" t="s">
        <v>702</v>
      </c>
    </row>
    <row r="32" spans="1:18">
      <c r="A32" s="171" t="s">
        <v>40</v>
      </c>
      <c r="B32" s="37">
        <f>IF( ISERROR(IND_voed_ele_kWh/1000),0,IND_voed_ele_kWh/1000)</f>
        <v>842.19702899999993</v>
      </c>
      <c r="C32" s="39">
        <f>IF(ISERROR(B32*3.6/1000000/'E Balans VL '!Z20*100),0,B32*3.6/1000000/'E Balans VL '!Z20*100)</f>
        <v>1.9778418704322856E-2</v>
      </c>
      <c r="D32" s="237" t="s">
        <v>702</v>
      </c>
    </row>
    <row r="33" spans="1:5">
      <c r="A33" s="171" t="s">
        <v>39</v>
      </c>
      <c r="B33" s="37">
        <f>IF( ISERROR(IND_textiel_ele_kWh/1000),0,IND_textiel_ele_kWh/1000)</f>
        <v>36.841078000000003</v>
      </c>
      <c r="C33" s="39">
        <f>IF(ISERROR(B33*3.6/1000000/'E Balans VL '!Z21*100),0,B33*3.6/1000000/'E Balans VL '!Z21*100)</f>
        <v>4.0432616122732688E-3</v>
      </c>
      <c r="D33" s="237" t="s">
        <v>702</v>
      </c>
    </row>
    <row r="34" spans="1:5">
      <c r="A34" s="171" t="s">
        <v>36</v>
      </c>
      <c r="B34" s="37">
        <f>IF( ISERROR(IND_min_ele_kWh/1000),0,IND_min_ele_kWh/1000)</f>
        <v>53.125911000000002</v>
      </c>
      <c r="C34" s="39">
        <f>IF(ISERROR(B34*3.6/1000000/'E Balans VL '!Z22*100),0,B34*3.6/1000000/'E Balans VL '!Z22*100)</f>
        <v>7.5370132921749435E-3</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2.637886</v>
      </c>
      <c r="C37" s="39">
        <f>IF(ISERROR(B37*3.6/1000000/'E Balans VL '!Z15*100),0,B37*3.6/1000000/'E Balans VL '!Z15*100)</f>
        <v>9.8855548183651678E-6</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2379.935594</v>
      </c>
      <c r="C5" s="17">
        <f>'Eigen informatie GS &amp; warmtenet'!B62</f>
        <v>0</v>
      </c>
      <c r="D5" s="30">
        <f>IF(ISERROR(SUM(LB_lb_gas_kWh,LB_rest_gas_kWh)/1000),0,SUM(LB_lb_gas_kWh,LB_rest_gas_kWh)/1000)*0.903</f>
        <v>43.528837779</v>
      </c>
      <c r="E5" s="17">
        <f>B17*'E Balans VL '!I25/3.6*1000000/100</f>
        <v>88.755078003938706</v>
      </c>
      <c r="F5" s="17">
        <f>B17*('E Balans VL '!L25/3.6*1000000+'E Balans VL '!N25/3.6*1000000)/100</f>
        <v>7721.4307102494986</v>
      </c>
      <c r="G5" s="18"/>
      <c r="H5" s="17"/>
      <c r="I5" s="17"/>
      <c r="J5" s="17">
        <f>('E Balans VL '!D25+'E Balans VL '!E25)/3.6*1000000*landbouw!B17/100</f>
        <v>624.74484294601143</v>
      </c>
      <c r="K5" s="17"/>
      <c r="L5" s="17">
        <f>L6*(-1)</f>
        <v>0</v>
      </c>
      <c r="M5" s="17"/>
      <c r="N5" s="17">
        <f>N6*(-1)</f>
        <v>124.71428571428569</v>
      </c>
      <c r="O5" s="17"/>
      <c r="P5" s="17"/>
      <c r="R5" s="32"/>
    </row>
    <row r="6" spans="1:18">
      <c r="A6" s="16" t="s">
        <v>479</v>
      </c>
      <c r="B6" s="17" t="s">
        <v>210</v>
      </c>
      <c r="C6" s="17">
        <f>'lokale energieproductie'!O39+'lokale energieproductie'!O32</f>
        <v>62.357142857142847</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2379.935594</v>
      </c>
      <c r="C8" s="21">
        <f>C5+C6</f>
        <v>62.357142857142847</v>
      </c>
      <c r="D8" s="21">
        <f>MAX((D5+D6),0)</f>
        <v>43.528837779</v>
      </c>
      <c r="E8" s="21">
        <f>MAX((E5+E6),0)</f>
        <v>88.755078003938706</v>
      </c>
      <c r="F8" s="21">
        <f>MAX((F5+F6),0)</f>
        <v>7721.4307102494986</v>
      </c>
      <c r="G8" s="21"/>
      <c r="H8" s="21"/>
      <c r="I8" s="21"/>
      <c r="J8" s="21">
        <f>MAX((J5+J6),0)</f>
        <v>624.74484294601143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0.17656154485002043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420.20510512019104</v>
      </c>
      <c r="C12" s="23">
        <f ca="1">C8*C10</f>
        <v>0</v>
      </c>
      <c r="D12" s="23">
        <f>D8*D10</f>
        <v>8.792825231358</v>
      </c>
      <c r="E12" s="23">
        <f>E8*E10</f>
        <v>20.147402706894088</v>
      </c>
      <c r="F12" s="23">
        <f>F8*F10</f>
        <v>2061.6219996366162</v>
      </c>
      <c r="G12" s="23"/>
      <c r="H12" s="23"/>
      <c r="I12" s="23"/>
      <c r="J12" s="23">
        <f>J8*J10</f>
        <v>221.15967440288804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0.32687794335028592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541.7330518950954</v>
      </c>
      <c r="C26" s="247">
        <f>B26*'GWP N2O_CH4'!B5</f>
        <v>11376.394089797004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197.4740577164024</v>
      </c>
      <c r="C27" s="247">
        <f>B27*'GWP N2O_CH4'!B5</f>
        <v>4146.9552120444505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8.2662076119548082</v>
      </c>
      <c r="C28" s="247">
        <f>B28*'GWP N2O_CH4'!B4</f>
        <v>2562.5243597059907</v>
      </c>
      <c r="D28" s="50"/>
    </row>
    <row r="29" spans="1:4">
      <c r="A29" s="41" t="s">
        <v>276</v>
      </c>
      <c r="B29" s="247">
        <f>B34*'ha_N2O bodem landbouw'!B4</f>
        <v>30.27970000781994</v>
      </c>
      <c r="C29" s="247">
        <f>B29*'GWP N2O_CH4'!B4</f>
        <v>9386.7070024241821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6.9008301049090538E-3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2.8277754876400966E-4</v>
      </c>
      <c r="C5" s="440" t="s">
        <v>210</v>
      </c>
      <c r="D5" s="425">
        <f>SUM(D6:D11)</f>
        <v>1.193815111496464E-3</v>
      </c>
      <c r="E5" s="425">
        <f>SUM(E6:E11)</f>
        <v>6.3743698137145222E-4</v>
      </c>
      <c r="F5" s="438" t="s">
        <v>210</v>
      </c>
      <c r="G5" s="425">
        <f>SUM(G6:G11)</f>
        <v>0.27851331368185722</v>
      </c>
      <c r="H5" s="425">
        <f>SUM(H6:H11)</f>
        <v>7.6003902107154866E-2</v>
      </c>
      <c r="I5" s="440" t="s">
        <v>210</v>
      </c>
      <c r="J5" s="440" t="s">
        <v>210</v>
      </c>
      <c r="K5" s="440" t="s">
        <v>210</v>
      </c>
      <c r="L5" s="440" t="s">
        <v>210</v>
      </c>
      <c r="M5" s="425">
        <f>SUM(M6:M11)</f>
        <v>2.0964225702801029E-2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2.1405885098184046E-4</v>
      </c>
      <c r="C6" s="426"/>
      <c r="D6" s="893">
        <f>vkm_GW_PW*SUMIFS(TableVerdeelsleutelVkm[CNG],TableVerdeelsleutelVkm[Voertuigtype],"Lichte voertuigen")*SUMIFS(TableECFTransport[EnergieConsumptieFactor (PJ per km)],TableECFTransport[Index],CONCATENATE($A6,"_CNG_CNG"))</f>
        <v>7.7311524543381661E-4</v>
      </c>
      <c r="E6" s="893">
        <f>vkm_GW_PW*SUMIFS(TableVerdeelsleutelVkm[LPG],TableVerdeelsleutelVkm[Voertuigtype],"Lichte voertuigen")*SUMIFS(TableECFTransport[EnergieConsumptieFactor (PJ per km)],TableECFTransport[Index],CONCATENATE($A6,"_LPG_LPG"))</f>
        <v>4.2016829104685817E-4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0.1307537833731133</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4.9485056984718237E-2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1.0801684766361412E-2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7.8663050225135159E-2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8.2812864784853633E-7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4.4288529406738891E-3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6.8718697782169206E-5</v>
      </c>
      <c r="C8" s="426"/>
      <c r="D8" s="428">
        <f>vkm_NGW_PW*SUMIFS(TableVerdeelsleutelVkm[CNG],TableVerdeelsleutelVkm[Voertuigtype],"Lichte voertuigen")*SUMIFS(TableECFTransport[EnergieConsumptieFactor (PJ per km)],TableECFTransport[Index],CONCATENATE($A8,"_CNG_CNG"))</f>
        <v>4.2069986606264729E-4</v>
      </c>
      <c r="E8" s="428">
        <f>vkm_NGW_PW*SUMIFS(TableVerdeelsleutelVkm[LPG],TableVerdeelsleutelVkm[Voertuigtype],"Lichte voertuigen")*SUMIFS(TableECFTransport[EnergieConsumptieFactor (PJ per km)],TableECFTransport[Index],CONCATENATE($A8,"_LPG_LPG"))</f>
        <v>2.1726869032459405E-4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6.292106634206017E-2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2.6517922566831217E-2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5.3860004844308394E-3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6.1754137415485867E-3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9.4426957557188614E-8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3.4768751133488904E-4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78.549319101113795</v>
      </c>
      <c r="C14" s="21"/>
      <c r="D14" s="21">
        <f t="shared" ref="D14:M14" si="0">((D5)*10^9/3600)+D12</f>
        <v>331.61530874901774</v>
      </c>
      <c r="E14" s="21">
        <f t="shared" si="0"/>
        <v>177.06582815873674</v>
      </c>
      <c r="F14" s="21"/>
      <c r="G14" s="21">
        <f t="shared" si="0"/>
        <v>77364.809356071448</v>
      </c>
      <c r="H14" s="21">
        <f t="shared" si="0"/>
        <v>21112.19502976524</v>
      </c>
      <c r="I14" s="21"/>
      <c r="J14" s="21"/>
      <c r="K14" s="21"/>
      <c r="L14" s="21"/>
      <c r="M14" s="21">
        <f t="shared" si="0"/>
        <v>5823.3960285558414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0.17656154485002043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13.868789127409869</v>
      </c>
      <c r="C18" s="23"/>
      <c r="D18" s="23">
        <f t="shared" ref="D18:M18" si="1">D14*D16</f>
        <v>66.986292367301587</v>
      </c>
      <c r="E18" s="23">
        <f t="shared" si="1"/>
        <v>40.193942992033243</v>
      </c>
      <c r="F18" s="23"/>
      <c r="G18" s="23">
        <f t="shared" si="1"/>
        <v>20656.404098071078</v>
      </c>
      <c r="H18" s="23">
        <f t="shared" si="1"/>
        <v>5256.9365624115444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6.0439181969831404E-3</v>
      </c>
      <c r="H50" s="321">
        <f t="shared" si="2"/>
        <v>0</v>
      </c>
      <c r="I50" s="321">
        <f t="shared" si="2"/>
        <v>0</v>
      </c>
      <c r="J50" s="321">
        <f t="shared" si="2"/>
        <v>0</v>
      </c>
      <c r="K50" s="321">
        <f t="shared" si="2"/>
        <v>0</v>
      </c>
      <c r="L50" s="321">
        <f t="shared" si="2"/>
        <v>0</v>
      </c>
      <c r="M50" s="321">
        <f t="shared" si="2"/>
        <v>3.2797742503837913E-4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6.0439181969831404E-3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3.2797742503837913E-4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1678.8661658286501</v>
      </c>
      <c r="H54" s="21">
        <f t="shared" si="3"/>
        <v>0</v>
      </c>
      <c r="I54" s="21">
        <f t="shared" si="3"/>
        <v>0</v>
      </c>
      <c r="J54" s="21">
        <f t="shared" si="3"/>
        <v>0</v>
      </c>
      <c r="K54" s="21">
        <f t="shared" si="3"/>
        <v>0</v>
      </c>
      <c r="L54" s="21">
        <f t="shared" si="3"/>
        <v>0</v>
      </c>
      <c r="M54" s="21">
        <f t="shared" si="3"/>
        <v>91.104840288438652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0.17656154485002043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448.2572662762496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8687.7386999999999</v>
      </c>
      <c r="D10" s="689">
        <f ca="1">tertiair!C16</f>
        <v>0</v>
      </c>
      <c r="E10" s="689">
        <f ca="1">tertiair!D16</f>
        <v>6766.7080180350004</v>
      </c>
      <c r="F10" s="689">
        <f>tertiair!E16</f>
        <v>21.865184252862328</v>
      </c>
      <c r="G10" s="689">
        <f ca="1">tertiair!F16</f>
        <v>1148.2662661950517</v>
      </c>
      <c r="H10" s="689">
        <f>tertiair!G16</f>
        <v>0</v>
      </c>
      <c r="I10" s="689">
        <f>tertiair!H16</f>
        <v>0</v>
      </c>
      <c r="J10" s="689">
        <f>tertiair!I16</f>
        <v>0</v>
      </c>
      <c r="K10" s="689">
        <f>tertiair!J16</f>
        <v>7.7764807234263628E-3</v>
      </c>
      <c r="L10" s="689">
        <f>tertiair!K16</f>
        <v>0</v>
      </c>
      <c r="M10" s="689">
        <f ca="1">tertiair!L16</f>
        <v>0</v>
      </c>
      <c r="N10" s="689">
        <f>tertiair!M16</f>
        <v>0</v>
      </c>
      <c r="O10" s="689">
        <f ca="1">tertiair!N16</f>
        <v>290.15074853569587</v>
      </c>
      <c r="P10" s="689">
        <f>tertiair!O16</f>
        <v>4.8972607658411542</v>
      </c>
      <c r="Q10" s="690">
        <f>tertiair!P16</f>
        <v>105.07827661299004</v>
      </c>
      <c r="R10" s="692">
        <f ca="1">SUM(C10:Q10)</f>
        <v>17024.712230878162</v>
      </c>
      <c r="S10" s="67"/>
    </row>
    <row r="11" spans="1:19" s="451" customFormat="1">
      <c r="A11" s="811" t="s">
        <v>224</v>
      </c>
      <c r="B11" s="816"/>
      <c r="C11" s="689">
        <f>huishoudens!B8</f>
        <v>23394.085022598527</v>
      </c>
      <c r="D11" s="689">
        <f>huishoudens!C8</f>
        <v>0</v>
      </c>
      <c r="E11" s="689">
        <f>huishoudens!D8</f>
        <v>27541.138432479001</v>
      </c>
      <c r="F11" s="689">
        <f>huishoudens!E8</f>
        <v>4768.2402351880964</v>
      </c>
      <c r="G11" s="689">
        <f>huishoudens!F8</f>
        <v>40853.876424642309</v>
      </c>
      <c r="H11" s="689">
        <f>huishoudens!G8</f>
        <v>0</v>
      </c>
      <c r="I11" s="689">
        <f>huishoudens!H8</f>
        <v>0</v>
      </c>
      <c r="J11" s="689">
        <f>huishoudens!I8</f>
        <v>0</v>
      </c>
      <c r="K11" s="689">
        <f>huishoudens!J8</f>
        <v>0</v>
      </c>
      <c r="L11" s="689">
        <f>huishoudens!K8</f>
        <v>0</v>
      </c>
      <c r="M11" s="689">
        <f>huishoudens!L8</f>
        <v>0</v>
      </c>
      <c r="N11" s="689">
        <f>huishoudens!M8</f>
        <v>0</v>
      </c>
      <c r="O11" s="689">
        <f>huishoudens!N8</f>
        <v>18182.893027595488</v>
      </c>
      <c r="P11" s="689">
        <f>huishoudens!O8</f>
        <v>706.28912610178338</v>
      </c>
      <c r="Q11" s="690">
        <f>huishoudens!P8</f>
        <v>589.90172123036132</v>
      </c>
      <c r="R11" s="692">
        <f>SUM(C11:Q11)</f>
        <v>116036.42398983557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6582.2269580000002</v>
      </c>
      <c r="D13" s="689">
        <f>industrie!C18</f>
        <v>0</v>
      </c>
      <c r="E13" s="689">
        <f>industrie!D18</f>
        <v>1800.5932315140001</v>
      </c>
      <c r="F13" s="689">
        <f>industrie!E18</f>
        <v>25.954043106096599</v>
      </c>
      <c r="G13" s="689">
        <f>industrie!F18</f>
        <v>1614.8859868910351</v>
      </c>
      <c r="H13" s="689">
        <f>industrie!G18</f>
        <v>0</v>
      </c>
      <c r="I13" s="689">
        <f>industrie!H18</f>
        <v>0</v>
      </c>
      <c r="J13" s="689">
        <f>industrie!I18</f>
        <v>0</v>
      </c>
      <c r="K13" s="689">
        <f>industrie!J18</f>
        <v>3.0358093234042922</v>
      </c>
      <c r="L13" s="689">
        <f>industrie!K18</f>
        <v>0</v>
      </c>
      <c r="M13" s="689">
        <f>industrie!L18</f>
        <v>0</v>
      </c>
      <c r="N13" s="689">
        <f>industrie!M18</f>
        <v>0</v>
      </c>
      <c r="O13" s="689">
        <f>industrie!N18</f>
        <v>176.40788417874828</v>
      </c>
      <c r="P13" s="689">
        <f>industrie!O18</f>
        <v>0</v>
      </c>
      <c r="Q13" s="690">
        <f>industrie!P18</f>
        <v>0</v>
      </c>
      <c r="R13" s="692">
        <f>SUM(C13:Q13)</f>
        <v>10203.103913013285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38664.050680598528</v>
      </c>
      <c r="D16" s="725">
        <f t="shared" ref="D16:R16" ca="1" si="0">SUM(D9:D15)</f>
        <v>0</v>
      </c>
      <c r="E16" s="725">
        <f t="shared" ca="1" si="0"/>
        <v>36108.439682028002</v>
      </c>
      <c r="F16" s="725">
        <f t="shared" si="0"/>
        <v>4816.0594625470558</v>
      </c>
      <c r="G16" s="725">
        <f t="shared" ca="1" si="0"/>
        <v>43617.028677728398</v>
      </c>
      <c r="H16" s="725">
        <f t="shared" si="0"/>
        <v>0</v>
      </c>
      <c r="I16" s="725">
        <f t="shared" si="0"/>
        <v>0</v>
      </c>
      <c r="J16" s="725">
        <f t="shared" si="0"/>
        <v>0</v>
      </c>
      <c r="K16" s="725">
        <f t="shared" si="0"/>
        <v>3.0435858041277184</v>
      </c>
      <c r="L16" s="725">
        <f t="shared" si="0"/>
        <v>0</v>
      </c>
      <c r="M16" s="725">
        <f t="shared" ca="1" si="0"/>
        <v>0</v>
      </c>
      <c r="N16" s="725">
        <f t="shared" si="0"/>
        <v>0</v>
      </c>
      <c r="O16" s="725">
        <f t="shared" ca="1" si="0"/>
        <v>18649.451660309933</v>
      </c>
      <c r="P16" s="725">
        <f t="shared" si="0"/>
        <v>711.18638686762449</v>
      </c>
      <c r="Q16" s="725">
        <f t="shared" si="0"/>
        <v>694.97999784335138</v>
      </c>
      <c r="R16" s="725">
        <f t="shared" ca="1" si="0"/>
        <v>143264.24013372703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1678.8661658286501</v>
      </c>
      <c r="I19" s="689">
        <f>transport!H54</f>
        <v>0</v>
      </c>
      <c r="J19" s="689">
        <f>transport!I54</f>
        <v>0</v>
      </c>
      <c r="K19" s="689">
        <f>transport!J54</f>
        <v>0</v>
      </c>
      <c r="L19" s="689">
        <f>transport!K54</f>
        <v>0</v>
      </c>
      <c r="M19" s="689">
        <f>transport!L54</f>
        <v>0</v>
      </c>
      <c r="N19" s="689">
        <f>transport!M54</f>
        <v>91.104840288438652</v>
      </c>
      <c r="O19" s="689">
        <f>transport!N54</f>
        <v>0</v>
      </c>
      <c r="P19" s="689">
        <f>transport!O54</f>
        <v>0</v>
      </c>
      <c r="Q19" s="690">
        <f>transport!P54</f>
        <v>0</v>
      </c>
      <c r="R19" s="692">
        <f>SUM(C19:Q19)</f>
        <v>1769.9710061170888</v>
      </c>
      <c r="S19" s="67"/>
    </row>
    <row r="20" spans="1:19" s="451" customFormat="1">
      <c r="A20" s="811" t="s">
        <v>306</v>
      </c>
      <c r="B20" s="816"/>
      <c r="C20" s="689">
        <f>transport!B14</f>
        <v>78.549319101113795</v>
      </c>
      <c r="D20" s="689">
        <f>transport!C14</f>
        <v>0</v>
      </c>
      <c r="E20" s="689">
        <f>transport!D14</f>
        <v>331.61530874901774</v>
      </c>
      <c r="F20" s="689">
        <f>transport!E14</f>
        <v>177.06582815873674</v>
      </c>
      <c r="G20" s="689">
        <f>transport!F14</f>
        <v>0</v>
      </c>
      <c r="H20" s="689">
        <f>transport!G14</f>
        <v>77364.809356071448</v>
      </c>
      <c r="I20" s="689">
        <f>transport!H14</f>
        <v>21112.19502976524</v>
      </c>
      <c r="J20" s="689">
        <f>transport!I14</f>
        <v>0</v>
      </c>
      <c r="K20" s="689">
        <f>transport!J14</f>
        <v>0</v>
      </c>
      <c r="L20" s="689">
        <f>transport!K14</f>
        <v>0</v>
      </c>
      <c r="M20" s="689">
        <f>transport!L14</f>
        <v>0</v>
      </c>
      <c r="N20" s="689">
        <f>transport!M14</f>
        <v>5823.3960285558414</v>
      </c>
      <c r="O20" s="689">
        <f>transport!N14</f>
        <v>0</v>
      </c>
      <c r="P20" s="689">
        <f>transport!O14</f>
        <v>0</v>
      </c>
      <c r="Q20" s="690">
        <f>transport!P14</f>
        <v>0</v>
      </c>
      <c r="R20" s="692">
        <f>SUM(C20:Q20)</f>
        <v>104887.63087040139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78.549319101113795</v>
      </c>
      <c r="D22" s="814">
        <f t="shared" ref="D22:R22" si="1">SUM(D18:D21)</f>
        <v>0</v>
      </c>
      <c r="E22" s="814">
        <f t="shared" si="1"/>
        <v>331.61530874901774</v>
      </c>
      <c r="F22" s="814">
        <f t="shared" si="1"/>
        <v>177.06582815873674</v>
      </c>
      <c r="G22" s="814">
        <f t="shared" si="1"/>
        <v>0</v>
      </c>
      <c r="H22" s="814">
        <f t="shared" si="1"/>
        <v>79043.675521900092</v>
      </c>
      <c r="I22" s="814">
        <f t="shared" si="1"/>
        <v>21112.19502976524</v>
      </c>
      <c r="J22" s="814">
        <f t="shared" si="1"/>
        <v>0</v>
      </c>
      <c r="K22" s="814">
        <f t="shared" si="1"/>
        <v>0</v>
      </c>
      <c r="L22" s="814">
        <f t="shared" si="1"/>
        <v>0</v>
      </c>
      <c r="M22" s="814">
        <f t="shared" si="1"/>
        <v>0</v>
      </c>
      <c r="N22" s="814">
        <f t="shared" si="1"/>
        <v>5914.5008688442804</v>
      </c>
      <c r="O22" s="814">
        <f t="shared" si="1"/>
        <v>0</v>
      </c>
      <c r="P22" s="814">
        <f t="shared" si="1"/>
        <v>0</v>
      </c>
      <c r="Q22" s="814">
        <f t="shared" si="1"/>
        <v>0</v>
      </c>
      <c r="R22" s="814">
        <f t="shared" si="1"/>
        <v>106657.60187651849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2379.935594</v>
      </c>
      <c r="D24" s="689">
        <f>+landbouw!C8</f>
        <v>62.357142857142847</v>
      </c>
      <c r="E24" s="689">
        <f>+landbouw!D8</f>
        <v>43.528837779</v>
      </c>
      <c r="F24" s="689">
        <f>+landbouw!E8</f>
        <v>88.755078003938706</v>
      </c>
      <c r="G24" s="689">
        <f>+landbouw!F8</f>
        <v>7721.4307102494986</v>
      </c>
      <c r="H24" s="689">
        <f>+landbouw!G8</f>
        <v>0</v>
      </c>
      <c r="I24" s="689">
        <f>+landbouw!H8</f>
        <v>0</v>
      </c>
      <c r="J24" s="689">
        <f>+landbouw!I8</f>
        <v>0</v>
      </c>
      <c r="K24" s="689">
        <f>+landbouw!J8</f>
        <v>624.74484294601143</v>
      </c>
      <c r="L24" s="689">
        <f>+landbouw!K8</f>
        <v>0</v>
      </c>
      <c r="M24" s="689">
        <f>+landbouw!L8</f>
        <v>0</v>
      </c>
      <c r="N24" s="689">
        <f>+landbouw!M8</f>
        <v>0</v>
      </c>
      <c r="O24" s="689">
        <f>+landbouw!N8</f>
        <v>0</v>
      </c>
      <c r="P24" s="689">
        <f>+landbouw!O8</f>
        <v>0</v>
      </c>
      <c r="Q24" s="690">
        <f>+landbouw!P8</f>
        <v>0</v>
      </c>
      <c r="R24" s="692">
        <f>SUM(C24:Q24)</f>
        <v>10920.752205835592</v>
      </c>
      <c r="S24" s="67"/>
    </row>
    <row r="25" spans="1:19" s="451" customFormat="1" ht="15" thickBot="1">
      <c r="A25" s="833" t="s">
        <v>714</v>
      </c>
      <c r="B25" s="947"/>
      <c r="C25" s="948">
        <f>IF(Onbekend_ele_kWh="---",0,Onbekend_ele_kWh)/1000+IF(REST_rest_ele_kWh="---",0,REST_rest_ele_kWh)/1000</f>
        <v>505.87598300000002</v>
      </c>
      <c r="D25" s="948"/>
      <c r="E25" s="948">
        <f>IF(onbekend_gas_kWh="---",0,onbekend_gas_kWh)/1000+IF(REST_rest_gas_kWh="---",0,REST_rest_gas_kWh)/1000</f>
        <v>679.51135999999997</v>
      </c>
      <c r="F25" s="948"/>
      <c r="G25" s="948"/>
      <c r="H25" s="948"/>
      <c r="I25" s="948"/>
      <c r="J25" s="948"/>
      <c r="K25" s="948"/>
      <c r="L25" s="948"/>
      <c r="M25" s="948"/>
      <c r="N25" s="948"/>
      <c r="O25" s="948"/>
      <c r="P25" s="948"/>
      <c r="Q25" s="949"/>
      <c r="R25" s="692">
        <f>SUM(C25:Q25)</f>
        <v>1185.3873429999999</v>
      </c>
      <c r="S25" s="67"/>
    </row>
    <row r="26" spans="1:19" s="451" customFormat="1" ht="15.75" thickBot="1">
      <c r="A26" s="697" t="s">
        <v>715</v>
      </c>
      <c r="B26" s="819"/>
      <c r="C26" s="814">
        <f>SUM(C24:C25)</f>
        <v>2885.8115769999999</v>
      </c>
      <c r="D26" s="814">
        <f t="shared" ref="D26:R26" si="2">SUM(D24:D25)</f>
        <v>62.357142857142847</v>
      </c>
      <c r="E26" s="814">
        <f t="shared" si="2"/>
        <v>723.04019777899998</v>
      </c>
      <c r="F26" s="814">
        <f t="shared" si="2"/>
        <v>88.755078003938706</v>
      </c>
      <c r="G26" s="814">
        <f t="shared" si="2"/>
        <v>7721.4307102494986</v>
      </c>
      <c r="H26" s="814">
        <f t="shared" si="2"/>
        <v>0</v>
      </c>
      <c r="I26" s="814">
        <f t="shared" si="2"/>
        <v>0</v>
      </c>
      <c r="J26" s="814">
        <f t="shared" si="2"/>
        <v>0</v>
      </c>
      <c r="K26" s="814">
        <f t="shared" si="2"/>
        <v>624.74484294601143</v>
      </c>
      <c r="L26" s="814">
        <f t="shared" si="2"/>
        <v>0</v>
      </c>
      <c r="M26" s="814">
        <f t="shared" si="2"/>
        <v>0</v>
      </c>
      <c r="N26" s="814">
        <f t="shared" si="2"/>
        <v>0</v>
      </c>
      <c r="O26" s="814">
        <f t="shared" si="2"/>
        <v>0</v>
      </c>
      <c r="P26" s="814">
        <f t="shared" si="2"/>
        <v>0</v>
      </c>
      <c r="Q26" s="814">
        <f t="shared" si="2"/>
        <v>0</v>
      </c>
      <c r="R26" s="814">
        <f t="shared" si="2"/>
        <v>12106.139548835592</v>
      </c>
      <c r="S26" s="67"/>
    </row>
    <row r="27" spans="1:19" s="451" customFormat="1" ht="17.25" thickTop="1" thickBot="1">
      <c r="A27" s="698" t="s">
        <v>115</v>
      </c>
      <c r="B27" s="806"/>
      <c r="C27" s="699">
        <f ca="1">C22+C16+C26</f>
        <v>41628.41157669964</v>
      </c>
      <c r="D27" s="699">
        <f t="shared" ref="D27:R27" ca="1" si="3">D22+D16+D26</f>
        <v>62.357142857142847</v>
      </c>
      <c r="E27" s="699">
        <f t="shared" ca="1" si="3"/>
        <v>37163.095188556021</v>
      </c>
      <c r="F27" s="699">
        <f t="shared" si="3"/>
        <v>5081.8803687097316</v>
      </c>
      <c r="G27" s="699">
        <f t="shared" ca="1" si="3"/>
        <v>51338.459387977899</v>
      </c>
      <c r="H27" s="699">
        <f t="shared" si="3"/>
        <v>79043.675521900092</v>
      </c>
      <c r="I27" s="699">
        <f t="shared" si="3"/>
        <v>21112.19502976524</v>
      </c>
      <c r="J27" s="699">
        <f t="shared" si="3"/>
        <v>0</v>
      </c>
      <c r="K27" s="699">
        <f t="shared" si="3"/>
        <v>627.78842875013913</v>
      </c>
      <c r="L27" s="699">
        <f t="shared" si="3"/>
        <v>0</v>
      </c>
      <c r="M27" s="699">
        <f t="shared" ca="1" si="3"/>
        <v>0</v>
      </c>
      <c r="N27" s="699">
        <f t="shared" si="3"/>
        <v>5914.5008688442804</v>
      </c>
      <c r="O27" s="699">
        <f t="shared" ca="1" si="3"/>
        <v>18649.451660309933</v>
      </c>
      <c r="P27" s="699">
        <f t="shared" si="3"/>
        <v>711.18638686762449</v>
      </c>
      <c r="Q27" s="699">
        <f t="shared" si="3"/>
        <v>694.97999784335138</v>
      </c>
      <c r="R27" s="699">
        <f t="shared" ca="1" si="3"/>
        <v>262027.98155908112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1533.9205661253079</v>
      </c>
      <c r="D40" s="689">
        <f ca="1">tertiair!C20</f>
        <v>0</v>
      </c>
      <c r="E40" s="689">
        <f ca="1">tertiair!D20</f>
        <v>1366.8750196430701</v>
      </c>
      <c r="F40" s="689">
        <f>tertiair!E20</f>
        <v>4.9633968253997489</v>
      </c>
      <c r="G40" s="689">
        <f ca="1">tertiair!F20</f>
        <v>306.58709307407884</v>
      </c>
      <c r="H40" s="689">
        <f>tertiair!G20</f>
        <v>0</v>
      </c>
      <c r="I40" s="689">
        <f>tertiair!H20</f>
        <v>0</v>
      </c>
      <c r="J40" s="689">
        <f>tertiair!I20</f>
        <v>0</v>
      </c>
      <c r="K40" s="689">
        <f>tertiair!J20</f>
        <v>2.7528741760929321E-3</v>
      </c>
      <c r="L40" s="689">
        <f>tertiair!K20</f>
        <v>0</v>
      </c>
      <c r="M40" s="689">
        <f ca="1">tertiair!L20</f>
        <v>0</v>
      </c>
      <c r="N40" s="689">
        <f>tertiair!M20</f>
        <v>0</v>
      </c>
      <c r="O40" s="689">
        <f ca="1">tertiair!N20</f>
        <v>0</v>
      </c>
      <c r="P40" s="689">
        <f>tertiair!O20</f>
        <v>0</v>
      </c>
      <c r="Q40" s="772">
        <f>tertiair!P20</f>
        <v>0</v>
      </c>
      <c r="R40" s="852">
        <f t="shared" ca="1" si="4"/>
        <v>3212.3488285420331</v>
      </c>
    </row>
    <row r="41" spans="1:18">
      <c r="A41" s="824" t="s">
        <v>224</v>
      </c>
      <c r="B41" s="831"/>
      <c r="C41" s="689">
        <f ca="1">huishoudens!B12</f>
        <v>4130.4957919427206</v>
      </c>
      <c r="D41" s="689">
        <f ca="1">huishoudens!C12</f>
        <v>0</v>
      </c>
      <c r="E41" s="689">
        <f>huishoudens!D12</f>
        <v>5563.309963360759</v>
      </c>
      <c r="F41" s="689">
        <f>huishoudens!E12</f>
        <v>1082.390533387698</v>
      </c>
      <c r="G41" s="689">
        <f>huishoudens!F12</f>
        <v>10907.985005379496</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21684.181294070673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1162.1681602579306</v>
      </c>
      <c r="D43" s="689">
        <f ca="1">industrie!C22</f>
        <v>0</v>
      </c>
      <c r="E43" s="689">
        <f>industrie!D22</f>
        <v>363.71983276582802</v>
      </c>
      <c r="F43" s="689">
        <f>industrie!E22</f>
        <v>5.8915677850839279</v>
      </c>
      <c r="G43" s="689">
        <f>industrie!F22</f>
        <v>431.17455849990642</v>
      </c>
      <c r="H43" s="689">
        <f>industrie!G22</f>
        <v>0</v>
      </c>
      <c r="I43" s="689">
        <f>industrie!H22</f>
        <v>0</v>
      </c>
      <c r="J43" s="689">
        <f>industrie!I22</f>
        <v>0</v>
      </c>
      <c r="K43" s="689">
        <f>industrie!J22</f>
        <v>1.0746765004851193</v>
      </c>
      <c r="L43" s="689">
        <f>industrie!K22</f>
        <v>0</v>
      </c>
      <c r="M43" s="689">
        <f>industrie!L22</f>
        <v>0</v>
      </c>
      <c r="N43" s="689">
        <f>industrie!M22</f>
        <v>0</v>
      </c>
      <c r="O43" s="689">
        <f>industrie!N22</f>
        <v>0</v>
      </c>
      <c r="P43" s="689">
        <f>industrie!O22</f>
        <v>0</v>
      </c>
      <c r="Q43" s="772">
        <f>industrie!P22</f>
        <v>0</v>
      </c>
      <c r="R43" s="851">
        <f t="shared" ca="1" si="4"/>
        <v>1964.028795809234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6826.5845183259589</v>
      </c>
      <c r="D46" s="725">
        <f t="shared" ref="D46:Q46" ca="1" si="5">SUM(D39:D45)</f>
        <v>0</v>
      </c>
      <c r="E46" s="725">
        <f t="shared" ca="1" si="5"/>
        <v>7293.904815769657</v>
      </c>
      <c r="F46" s="725">
        <f t="shared" si="5"/>
        <v>1093.2454979981817</v>
      </c>
      <c r="G46" s="725">
        <f t="shared" ca="1" si="5"/>
        <v>11645.746656953481</v>
      </c>
      <c r="H46" s="725">
        <f t="shared" si="5"/>
        <v>0</v>
      </c>
      <c r="I46" s="725">
        <f t="shared" si="5"/>
        <v>0</v>
      </c>
      <c r="J46" s="725">
        <f t="shared" si="5"/>
        <v>0</v>
      </c>
      <c r="K46" s="725">
        <f t="shared" si="5"/>
        <v>1.0774293746612122</v>
      </c>
      <c r="L46" s="725">
        <f t="shared" si="5"/>
        <v>0</v>
      </c>
      <c r="M46" s="725">
        <f t="shared" ca="1" si="5"/>
        <v>0</v>
      </c>
      <c r="N46" s="725">
        <f t="shared" si="5"/>
        <v>0</v>
      </c>
      <c r="O46" s="725">
        <f t="shared" ca="1" si="5"/>
        <v>0</v>
      </c>
      <c r="P46" s="725">
        <f t="shared" si="5"/>
        <v>0</v>
      </c>
      <c r="Q46" s="725">
        <f t="shared" si="5"/>
        <v>0</v>
      </c>
      <c r="R46" s="725">
        <f ca="1">SUM(R39:R45)</f>
        <v>26860.558918421939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448.2572662762496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448.2572662762496</v>
      </c>
    </row>
    <row r="50" spans="1:18">
      <c r="A50" s="827" t="s">
        <v>306</v>
      </c>
      <c r="B50" s="837"/>
      <c r="C50" s="695">
        <f ca="1">transport!B18</f>
        <v>13.868789127409869</v>
      </c>
      <c r="D50" s="695">
        <f>transport!C18</f>
        <v>0</v>
      </c>
      <c r="E50" s="695">
        <f>transport!D18</f>
        <v>66.986292367301587</v>
      </c>
      <c r="F50" s="695">
        <f>transport!E18</f>
        <v>40.193942992033243</v>
      </c>
      <c r="G50" s="695">
        <f>transport!F18</f>
        <v>0</v>
      </c>
      <c r="H50" s="695">
        <f>transport!G18</f>
        <v>20656.404098071078</v>
      </c>
      <c r="I50" s="695">
        <f>transport!H18</f>
        <v>5256.9365624115444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26034.389684969366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13.868789127409869</v>
      </c>
      <c r="D52" s="725">
        <f t="shared" ref="D52:Q52" ca="1" si="6">SUM(D48:D51)</f>
        <v>0</v>
      </c>
      <c r="E52" s="725">
        <f t="shared" si="6"/>
        <v>66.986292367301587</v>
      </c>
      <c r="F52" s="725">
        <f t="shared" si="6"/>
        <v>40.193942992033243</v>
      </c>
      <c r="G52" s="725">
        <f t="shared" si="6"/>
        <v>0</v>
      </c>
      <c r="H52" s="725">
        <f t="shared" si="6"/>
        <v>21104.661364347328</v>
      </c>
      <c r="I52" s="725">
        <f t="shared" si="6"/>
        <v>5256.9365624115444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26482.646951245617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420.20510512019104</v>
      </c>
      <c r="D54" s="695">
        <f ca="1">+landbouw!C12</f>
        <v>0</v>
      </c>
      <c r="E54" s="695">
        <f>+landbouw!D12</f>
        <v>8.792825231358</v>
      </c>
      <c r="F54" s="695">
        <f>+landbouw!E12</f>
        <v>20.147402706894088</v>
      </c>
      <c r="G54" s="695">
        <f>+landbouw!F12</f>
        <v>2061.6219996366162</v>
      </c>
      <c r="H54" s="695">
        <f>+landbouw!G12</f>
        <v>0</v>
      </c>
      <c r="I54" s="695">
        <f>+landbouw!H12</f>
        <v>0</v>
      </c>
      <c r="J54" s="695">
        <f>+landbouw!I12</f>
        <v>0</v>
      </c>
      <c r="K54" s="695">
        <f>+landbouw!J12</f>
        <v>221.15967440288804</v>
      </c>
      <c r="L54" s="695">
        <f>+landbouw!K12</f>
        <v>0</v>
      </c>
      <c r="M54" s="695">
        <f>+landbouw!L12</f>
        <v>0</v>
      </c>
      <c r="N54" s="695">
        <f>+landbouw!M12</f>
        <v>0</v>
      </c>
      <c r="O54" s="695">
        <f>+landbouw!N12</f>
        <v>0</v>
      </c>
      <c r="P54" s="695">
        <f>+landbouw!O12</f>
        <v>0</v>
      </c>
      <c r="Q54" s="696">
        <f>+landbouw!P12</f>
        <v>0</v>
      </c>
      <c r="R54" s="724">
        <f ca="1">SUM(C54:Q54)</f>
        <v>2731.9270070979474</v>
      </c>
    </row>
    <row r="55" spans="1:18" ht="15" thickBot="1">
      <c r="A55" s="827" t="s">
        <v>714</v>
      </c>
      <c r="B55" s="837"/>
      <c r="C55" s="695">
        <f ca="1">C25*'EF ele_warmte'!B12</f>
        <v>89.318245061002671</v>
      </c>
      <c r="D55" s="695"/>
      <c r="E55" s="695">
        <f>E25*EF_CO2_aardgas</f>
        <v>137.26129472</v>
      </c>
      <c r="F55" s="695"/>
      <c r="G55" s="695"/>
      <c r="H55" s="695"/>
      <c r="I55" s="695"/>
      <c r="J55" s="695"/>
      <c r="K55" s="695"/>
      <c r="L55" s="695"/>
      <c r="M55" s="695"/>
      <c r="N55" s="695"/>
      <c r="O55" s="695"/>
      <c r="P55" s="695"/>
      <c r="Q55" s="696"/>
      <c r="R55" s="724">
        <f ca="1">SUM(C55:Q55)</f>
        <v>226.57953978100267</v>
      </c>
    </row>
    <row r="56" spans="1:18" ht="15.75" thickBot="1">
      <c r="A56" s="825" t="s">
        <v>715</v>
      </c>
      <c r="B56" s="838"/>
      <c r="C56" s="725">
        <f ca="1">SUM(C54:C55)</f>
        <v>509.52335018119368</v>
      </c>
      <c r="D56" s="725">
        <f t="shared" ref="D56:Q56" ca="1" si="7">SUM(D54:D55)</f>
        <v>0</v>
      </c>
      <c r="E56" s="725">
        <f t="shared" si="7"/>
        <v>146.05411995135799</v>
      </c>
      <c r="F56" s="725">
        <f t="shared" si="7"/>
        <v>20.147402706894088</v>
      </c>
      <c r="G56" s="725">
        <f t="shared" si="7"/>
        <v>2061.6219996366162</v>
      </c>
      <c r="H56" s="725">
        <f t="shared" si="7"/>
        <v>0</v>
      </c>
      <c r="I56" s="725">
        <f t="shared" si="7"/>
        <v>0</v>
      </c>
      <c r="J56" s="725">
        <f t="shared" si="7"/>
        <v>0</v>
      </c>
      <c r="K56" s="725">
        <f t="shared" si="7"/>
        <v>221.15967440288804</v>
      </c>
      <c r="L56" s="725">
        <f t="shared" si="7"/>
        <v>0</v>
      </c>
      <c r="M56" s="725">
        <f t="shared" si="7"/>
        <v>0</v>
      </c>
      <c r="N56" s="725">
        <f t="shared" si="7"/>
        <v>0</v>
      </c>
      <c r="O56" s="725">
        <f t="shared" si="7"/>
        <v>0</v>
      </c>
      <c r="P56" s="725">
        <f t="shared" si="7"/>
        <v>0</v>
      </c>
      <c r="Q56" s="726">
        <f t="shared" si="7"/>
        <v>0</v>
      </c>
      <c r="R56" s="727">
        <f ca="1">SUM(R54:R55)</f>
        <v>2958.5065468789498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7349.9766576345628</v>
      </c>
      <c r="D61" s="733">
        <f t="shared" ref="D61:Q61" ca="1" si="8">D46+D52+D56</f>
        <v>0</v>
      </c>
      <c r="E61" s="733">
        <f t="shared" ca="1" si="8"/>
        <v>7506.945228088317</v>
      </c>
      <c r="F61" s="733">
        <f t="shared" si="8"/>
        <v>1153.5868436971091</v>
      </c>
      <c r="G61" s="733">
        <f t="shared" ca="1" si="8"/>
        <v>13707.368656590097</v>
      </c>
      <c r="H61" s="733">
        <f t="shared" si="8"/>
        <v>21104.661364347328</v>
      </c>
      <c r="I61" s="733">
        <f t="shared" si="8"/>
        <v>5256.9365624115444</v>
      </c>
      <c r="J61" s="733">
        <f t="shared" si="8"/>
        <v>0</v>
      </c>
      <c r="K61" s="733">
        <f t="shared" si="8"/>
        <v>222.23710377754927</v>
      </c>
      <c r="L61" s="733">
        <f t="shared" si="8"/>
        <v>0</v>
      </c>
      <c r="M61" s="733">
        <f t="shared" ca="1" si="8"/>
        <v>0</v>
      </c>
      <c r="N61" s="733">
        <f t="shared" si="8"/>
        <v>0</v>
      </c>
      <c r="O61" s="733">
        <f t="shared" ca="1" si="8"/>
        <v>0</v>
      </c>
      <c r="P61" s="733">
        <f t="shared" si="8"/>
        <v>0</v>
      </c>
      <c r="Q61" s="733">
        <f t="shared" si="8"/>
        <v>0</v>
      </c>
      <c r="R61" s="733">
        <f ca="1">R46+R52+R56</f>
        <v>56301.712416546499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0.17656154485002043</v>
      </c>
      <c r="D63" s="779">
        <f t="shared" ca="1" si="9"/>
        <v>0</v>
      </c>
      <c r="E63" s="973">
        <f t="shared" ca="1" si="9"/>
        <v>0.20200000000000001</v>
      </c>
      <c r="F63" s="779">
        <f t="shared" si="9"/>
        <v>0.22700000000000001</v>
      </c>
      <c r="G63" s="779">
        <f t="shared" ca="1" si="9"/>
        <v>0.26699999999999996</v>
      </c>
      <c r="H63" s="779">
        <f t="shared" si="9"/>
        <v>0.26700000000000007</v>
      </c>
      <c r="I63" s="779">
        <f t="shared" si="9"/>
        <v>0.24899999999999997</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8326.9486462265049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8370.5986462265046</v>
      </c>
      <c r="C78" s="751">
        <f>SUM(C72:C77)</f>
        <v>0</v>
      </c>
      <c r="D78" s="752">
        <f t="shared" ref="D78:H78" si="10">SUM(D76:D77)</f>
        <v>0</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8326.9486462265049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8370.5986462265046</v>
      </c>
      <c r="C10" s="566">
        <f t="shared" ref="C10:L10" si="0">SUM(C8:C9)</f>
        <v>0</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72040</v>
      </c>
      <c r="C28" s="794">
        <v>3670</v>
      </c>
      <c r="D28" s="643" t="s">
        <v>865</v>
      </c>
      <c r="E28" s="642" t="s">
        <v>866</v>
      </c>
      <c r="F28" s="642" t="s">
        <v>867</v>
      </c>
      <c r="G28" s="642" t="s">
        <v>868</v>
      </c>
      <c r="H28" s="642" t="s">
        <v>869</v>
      </c>
      <c r="I28" s="642" t="s">
        <v>870</v>
      </c>
      <c r="J28" s="793">
        <v>41282</v>
      </c>
      <c r="K28" s="793">
        <v>41282</v>
      </c>
      <c r="L28" s="642" t="s">
        <v>871</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9.6999999999999993</v>
      </c>
      <c r="N32" s="605">
        <f>SUMIF($Z$28:$Z$28,"landbouw",N28:N28)</f>
        <v>43.649999999999991</v>
      </c>
      <c r="O32" s="605">
        <f>SUMIF($Z$28:$Z$28,"landbouw",O28:O28)</f>
        <v>62.357142857142847</v>
      </c>
      <c r="P32" s="605">
        <f>SUMIF($Z$28:$Z$28,"landbouw",P28:P28)</f>
        <v>0</v>
      </c>
      <c r="Q32" s="605">
        <f>SUMIF($Z$28:$Z$28,"landbouw",Q28:Q28)</f>
        <v>124.71428571428569</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23394.085022598527</v>
      </c>
      <c r="C4" s="455">
        <f>huishoudens!C8</f>
        <v>0</v>
      </c>
      <c r="D4" s="455">
        <f>huishoudens!D8</f>
        <v>27541.138432479001</v>
      </c>
      <c r="E4" s="455">
        <f>huishoudens!E8</f>
        <v>4768.2402351880964</v>
      </c>
      <c r="F4" s="455">
        <f>huishoudens!F8</f>
        <v>40853.876424642309</v>
      </c>
      <c r="G4" s="455">
        <f>huishoudens!G8</f>
        <v>0</v>
      </c>
      <c r="H4" s="455">
        <f>huishoudens!H8</f>
        <v>0</v>
      </c>
      <c r="I4" s="455">
        <f>huishoudens!I8</f>
        <v>0</v>
      </c>
      <c r="J4" s="455">
        <f>huishoudens!J8</f>
        <v>0</v>
      </c>
      <c r="K4" s="455">
        <f>huishoudens!K8</f>
        <v>0</v>
      </c>
      <c r="L4" s="455">
        <f>huishoudens!L8</f>
        <v>0</v>
      </c>
      <c r="M4" s="455">
        <f>huishoudens!M8</f>
        <v>0</v>
      </c>
      <c r="N4" s="455">
        <f>huishoudens!N8</f>
        <v>18182.893027595488</v>
      </c>
      <c r="O4" s="455">
        <f>huishoudens!O8</f>
        <v>706.28912610178338</v>
      </c>
      <c r="P4" s="456">
        <f>huishoudens!P8</f>
        <v>589.90172123036132</v>
      </c>
      <c r="Q4" s="457">
        <f>SUM(B4:P4)</f>
        <v>116036.42398983557</v>
      </c>
    </row>
    <row r="5" spans="1:17">
      <c r="A5" s="454" t="s">
        <v>155</v>
      </c>
      <c r="B5" s="455">
        <f ca="1">tertiair!B16</f>
        <v>7930.6328239999993</v>
      </c>
      <c r="C5" s="455">
        <f ca="1">tertiair!C16</f>
        <v>0</v>
      </c>
      <c r="D5" s="455">
        <f ca="1">tertiair!D16</f>
        <v>6766.7080180350004</v>
      </c>
      <c r="E5" s="455">
        <f>tertiair!E16</f>
        <v>21.865184252862328</v>
      </c>
      <c r="F5" s="455">
        <f ca="1">tertiair!F16</f>
        <v>1148.2662661950517</v>
      </c>
      <c r="G5" s="455">
        <f>tertiair!G16</f>
        <v>0</v>
      </c>
      <c r="H5" s="455">
        <f>tertiair!H16</f>
        <v>0</v>
      </c>
      <c r="I5" s="455">
        <f>tertiair!I16</f>
        <v>0</v>
      </c>
      <c r="J5" s="455">
        <f>tertiair!J16</f>
        <v>7.7764807234263628E-3</v>
      </c>
      <c r="K5" s="455">
        <f>tertiair!K16</f>
        <v>0</v>
      </c>
      <c r="L5" s="455">
        <f ca="1">tertiair!L16</f>
        <v>0</v>
      </c>
      <c r="M5" s="455">
        <f>tertiair!M16</f>
        <v>0</v>
      </c>
      <c r="N5" s="455">
        <f ca="1">tertiair!N16</f>
        <v>290.15074853569587</v>
      </c>
      <c r="O5" s="455">
        <f>tertiair!O16</f>
        <v>4.8972607658411542</v>
      </c>
      <c r="P5" s="456">
        <f>tertiair!P16</f>
        <v>105.07827661299004</v>
      </c>
      <c r="Q5" s="454">
        <f t="shared" ref="Q5:Q14" ca="1" si="0">SUM(B5:P5)</f>
        <v>16267.606354878162</v>
      </c>
    </row>
    <row r="6" spans="1:17">
      <c r="A6" s="454" t="s">
        <v>193</v>
      </c>
      <c r="B6" s="455">
        <f>'openbare verlichting'!B8</f>
        <v>757.10587600000008</v>
      </c>
      <c r="C6" s="455"/>
      <c r="D6" s="455"/>
      <c r="E6" s="455"/>
      <c r="F6" s="455"/>
      <c r="G6" s="455"/>
      <c r="H6" s="455"/>
      <c r="I6" s="455"/>
      <c r="J6" s="455"/>
      <c r="K6" s="455"/>
      <c r="L6" s="455"/>
      <c r="M6" s="455"/>
      <c r="N6" s="455"/>
      <c r="O6" s="455"/>
      <c r="P6" s="456"/>
      <c r="Q6" s="454">
        <f t="shared" si="0"/>
        <v>757.10587600000008</v>
      </c>
    </row>
    <row r="7" spans="1:17">
      <c r="A7" s="454" t="s">
        <v>111</v>
      </c>
      <c r="B7" s="455">
        <f>landbouw!B8</f>
        <v>2379.935594</v>
      </c>
      <c r="C7" s="455">
        <f>landbouw!C8</f>
        <v>62.357142857142847</v>
      </c>
      <c r="D7" s="455">
        <f>landbouw!D8</f>
        <v>43.528837779</v>
      </c>
      <c r="E7" s="455">
        <f>landbouw!E8</f>
        <v>88.755078003938706</v>
      </c>
      <c r="F7" s="455">
        <f>landbouw!F8</f>
        <v>7721.4307102494986</v>
      </c>
      <c r="G7" s="455">
        <f>landbouw!G8</f>
        <v>0</v>
      </c>
      <c r="H7" s="455">
        <f>landbouw!H8</f>
        <v>0</v>
      </c>
      <c r="I7" s="455">
        <f>landbouw!I8</f>
        <v>0</v>
      </c>
      <c r="J7" s="455">
        <f>landbouw!J8</f>
        <v>624.74484294601143</v>
      </c>
      <c r="K7" s="455">
        <f>landbouw!K8</f>
        <v>0</v>
      </c>
      <c r="L7" s="455">
        <f>landbouw!L8</f>
        <v>0</v>
      </c>
      <c r="M7" s="455">
        <f>landbouw!M8</f>
        <v>0</v>
      </c>
      <c r="N7" s="455">
        <f>landbouw!N8</f>
        <v>0</v>
      </c>
      <c r="O7" s="455">
        <f>landbouw!O8</f>
        <v>0</v>
      </c>
      <c r="P7" s="456">
        <f>landbouw!P8</f>
        <v>0</v>
      </c>
      <c r="Q7" s="454">
        <f t="shared" si="0"/>
        <v>10920.752205835592</v>
      </c>
    </row>
    <row r="8" spans="1:17">
      <c r="A8" s="454" t="s">
        <v>626</v>
      </c>
      <c r="B8" s="455">
        <f>industrie!B18</f>
        <v>6582.2269580000002</v>
      </c>
      <c r="C8" s="455">
        <f>industrie!C18</f>
        <v>0</v>
      </c>
      <c r="D8" s="455">
        <f>industrie!D18</f>
        <v>1800.5932315140001</v>
      </c>
      <c r="E8" s="455">
        <f>industrie!E18</f>
        <v>25.954043106096599</v>
      </c>
      <c r="F8" s="455">
        <f>industrie!F18</f>
        <v>1614.8859868910351</v>
      </c>
      <c r="G8" s="455">
        <f>industrie!G18</f>
        <v>0</v>
      </c>
      <c r="H8" s="455">
        <f>industrie!H18</f>
        <v>0</v>
      </c>
      <c r="I8" s="455">
        <f>industrie!I18</f>
        <v>0</v>
      </c>
      <c r="J8" s="455">
        <f>industrie!J18</f>
        <v>3.0358093234042922</v>
      </c>
      <c r="K8" s="455">
        <f>industrie!K18</f>
        <v>0</v>
      </c>
      <c r="L8" s="455">
        <f>industrie!L18</f>
        <v>0</v>
      </c>
      <c r="M8" s="455">
        <f>industrie!M18</f>
        <v>0</v>
      </c>
      <c r="N8" s="455">
        <f>industrie!N18</f>
        <v>176.40788417874828</v>
      </c>
      <c r="O8" s="455">
        <f>industrie!O18</f>
        <v>0</v>
      </c>
      <c r="P8" s="456">
        <f>industrie!P18</f>
        <v>0</v>
      </c>
      <c r="Q8" s="454">
        <f t="shared" si="0"/>
        <v>10203.103913013285</v>
      </c>
    </row>
    <row r="9" spans="1:17" s="460" customFormat="1">
      <c r="A9" s="458" t="s">
        <v>552</v>
      </c>
      <c r="B9" s="459">
        <f>transport!B14</f>
        <v>78.549319101113795</v>
      </c>
      <c r="C9" s="459">
        <f>transport!C14</f>
        <v>0</v>
      </c>
      <c r="D9" s="459">
        <f>transport!D14</f>
        <v>331.61530874901774</v>
      </c>
      <c r="E9" s="459">
        <f>transport!E14</f>
        <v>177.06582815873674</v>
      </c>
      <c r="F9" s="459">
        <f>transport!F14</f>
        <v>0</v>
      </c>
      <c r="G9" s="459">
        <f>transport!G14</f>
        <v>77364.809356071448</v>
      </c>
      <c r="H9" s="459">
        <f>transport!H14</f>
        <v>21112.19502976524</v>
      </c>
      <c r="I9" s="459">
        <f>transport!I14</f>
        <v>0</v>
      </c>
      <c r="J9" s="459">
        <f>transport!J14</f>
        <v>0</v>
      </c>
      <c r="K9" s="459">
        <f>transport!K14</f>
        <v>0</v>
      </c>
      <c r="L9" s="459">
        <f>transport!L14</f>
        <v>0</v>
      </c>
      <c r="M9" s="459">
        <f>transport!M14</f>
        <v>5823.3960285558414</v>
      </c>
      <c r="N9" s="459">
        <f>transport!N14</f>
        <v>0</v>
      </c>
      <c r="O9" s="459">
        <f>transport!O14</f>
        <v>0</v>
      </c>
      <c r="P9" s="459">
        <f>transport!P14</f>
        <v>0</v>
      </c>
      <c r="Q9" s="458">
        <f>SUM(B9:P9)</f>
        <v>104887.63087040139</v>
      </c>
    </row>
    <row r="10" spans="1:17">
      <c r="A10" s="454" t="s">
        <v>542</v>
      </c>
      <c r="B10" s="455">
        <f>transport!B54</f>
        <v>0</v>
      </c>
      <c r="C10" s="455">
        <f>transport!C54</f>
        <v>0</v>
      </c>
      <c r="D10" s="455">
        <f>transport!D54</f>
        <v>0</v>
      </c>
      <c r="E10" s="455">
        <f>transport!E54</f>
        <v>0</v>
      </c>
      <c r="F10" s="455">
        <f>transport!F54</f>
        <v>0</v>
      </c>
      <c r="G10" s="455">
        <f>transport!G54</f>
        <v>1678.8661658286501</v>
      </c>
      <c r="H10" s="455">
        <f>transport!H54</f>
        <v>0</v>
      </c>
      <c r="I10" s="455">
        <f>transport!I54</f>
        <v>0</v>
      </c>
      <c r="J10" s="455">
        <f>transport!J54</f>
        <v>0</v>
      </c>
      <c r="K10" s="455">
        <f>transport!K54</f>
        <v>0</v>
      </c>
      <c r="L10" s="455">
        <f>transport!L54</f>
        <v>0</v>
      </c>
      <c r="M10" s="455">
        <f>transport!M54</f>
        <v>91.104840288438652</v>
      </c>
      <c r="N10" s="455">
        <f>transport!N54</f>
        <v>0</v>
      </c>
      <c r="O10" s="455">
        <f>transport!O54</f>
        <v>0</v>
      </c>
      <c r="P10" s="456">
        <f>transport!P54</f>
        <v>0</v>
      </c>
      <c r="Q10" s="454">
        <f t="shared" si="0"/>
        <v>1769.9710061170888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505.87598300000002</v>
      </c>
      <c r="C14" s="462"/>
      <c r="D14" s="462">
        <f>'SEAP template'!E25</f>
        <v>679.51135999999997</v>
      </c>
      <c r="E14" s="462"/>
      <c r="F14" s="462"/>
      <c r="G14" s="462"/>
      <c r="H14" s="462"/>
      <c r="I14" s="462"/>
      <c r="J14" s="462"/>
      <c r="K14" s="462"/>
      <c r="L14" s="462"/>
      <c r="M14" s="462"/>
      <c r="N14" s="462"/>
      <c r="O14" s="462"/>
      <c r="P14" s="463"/>
      <c r="Q14" s="454">
        <f t="shared" si="0"/>
        <v>1185.3873429999999</v>
      </c>
    </row>
    <row r="15" spans="1:17" s="466" customFormat="1">
      <c r="A15" s="464" t="s">
        <v>546</v>
      </c>
      <c r="B15" s="465">
        <f ca="1">SUM(B4:B14)</f>
        <v>41628.41157669964</v>
      </c>
      <c r="C15" s="465">
        <f t="shared" ref="C15:Q15" ca="1" si="1">SUM(C4:C14)</f>
        <v>62.357142857142847</v>
      </c>
      <c r="D15" s="465">
        <f t="shared" ca="1" si="1"/>
        <v>37163.095188556013</v>
      </c>
      <c r="E15" s="465">
        <f t="shared" si="1"/>
        <v>5081.8803687097306</v>
      </c>
      <c r="F15" s="465">
        <f t="shared" ca="1" si="1"/>
        <v>51338.459387977899</v>
      </c>
      <c r="G15" s="465">
        <f t="shared" si="1"/>
        <v>79043.675521900092</v>
      </c>
      <c r="H15" s="465">
        <f t="shared" si="1"/>
        <v>21112.19502976524</v>
      </c>
      <c r="I15" s="465">
        <f t="shared" si="1"/>
        <v>0</v>
      </c>
      <c r="J15" s="465">
        <f t="shared" si="1"/>
        <v>627.78842875013913</v>
      </c>
      <c r="K15" s="465">
        <f t="shared" si="1"/>
        <v>0</v>
      </c>
      <c r="L15" s="465">
        <f t="shared" ca="1" si="1"/>
        <v>0</v>
      </c>
      <c r="M15" s="465">
        <f t="shared" si="1"/>
        <v>5914.5008688442804</v>
      </c>
      <c r="N15" s="465">
        <f t="shared" ca="1" si="1"/>
        <v>18649.451660309933</v>
      </c>
      <c r="O15" s="465">
        <f t="shared" si="1"/>
        <v>711.18638686762449</v>
      </c>
      <c r="P15" s="465">
        <f t="shared" si="1"/>
        <v>694.97999784335138</v>
      </c>
      <c r="Q15" s="465">
        <f t="shared" ca="1" si="1"/>
        <v>262027.98155908112</v>
      </c>
    </row>
    <row r="17" spans="1:17">
      <c r="A17" s="467" t="s">
        <v>547</v>
      </c>
      <c r="B17" s="784">
        <f ca="1">huishoudens!B10</f>
        <v>0.17656154485002043</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4130.4957919427206</v>
      </c>
      <c r="C22" s="455">
        <f t="shared" ref="C22:C32" ca="1" si="3">C4*$C$17</f>
        <v>0</v>
      </c>
      <c r="D22" s="455">
        <f t="shared" ref="D22:D32" si="4">D4*$D$17</f>
        <v>5563.309963360759</v>
      </c>
      <c r="E22" s="455">
        <f t="shared" ref="E22:E32" si="5">E4*$E$17</f>
        <v>1082.390533387698</v>
      </c>
      <c r="F22" s="455">
        <f t="shared" ref="F22:F32" si="6">F4*$F$17</f>
        <v>10907.985005379496</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21684.181294070673</v>
      </c>
    </row>
    <row r="23" spans="1:17">
      <c r="A23" s="454" t="s">
        <v>155</v>
      </c>
      <c r="B23" s="455">
        <f t="shared" ca="1" si="2"/>
        <v>1400.24478304372</v>
      </c>
      <c r="C23" s="455">
        <f t="shared" ca="1" si="3"/>
        <v>0</v>
      </c>
      <c r="D23" s="455">
        <f t="shared" ca="1" si="4"/>
        <v>1366.8750196430701</v>
      </c>
      <c r="E23" s="455">
        <f t="shared" si="5"/>
        <v>4.9633968253997489</v>
      </c>
      <c r="F23" s="455">
        <f t="shared" ca="1" si="6"/>
        <v>306.58709307407884</v>
      </c>
      <c r="G23" s="455">
        <f t="shared" si="7"/>
        <v>0</v>
      </c>
      <c r="H23" s="455">
        <f t="shared" si="8"/>
        <v>0</v>
      </c>
      <c r="I23" s="455">
        <f t="shared" si="9"/>
        <v>0</v>
      </c>
      <c r="J23" s="455">
        <f t="shared" si="10"/>
        <v>2.7528741760929321E-3</v>
      </c>
      <c r="K23" s="455">
        <f t="shared" si="11"/>
        <v>0</v>
      </c>
      <c r="L23" s="455">
        <f t="shared" ca="1" si="12"/>
        <v>0</v>
      </c>
      <c r="M23" s="455">
        <f t="shared" si="13"/>
        <v>0</v>
      </c>
      <c r="N23" s="455">
        <f t="shared" ca="1" si="14"/>
        <v>0</v>
      </c>
      <c r="O23" s="455">
        <f t="shared" si="15"/>
        <v>0</v>
      </c>
      <c r="P23" s="456">
        <f t="shared" si="16"/>
        <v>0</v>
      </c>
      <c r="Q23" s="454">
        <f t="shared" ref="Q23:Q31" ca="1" si="17">SUM(B23:P23)</f>
        <v>3078.6730454604449</v>
      </c>
    </row>
    <row r="24" spans="1:17">
      <c r="A24" s="454" t="s">
        <v>193</v>
      </c>
      <c r="B24" s="455">
        <f t="shared" ca="1" si="2"/>
        <v>133.67578308158801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133.67578308158801</v>
      </c>
    </row>
    <row r="25" spans="1:17">
      <c r="A25" s="454" t="s">
        <v>111</v>
      </c>
      <c r="B25" s="455">
        <f t="shared" ca="1" si="2"/>
        <v>420.20510512019104</v>
      </c>
      <c r="C25" s="455">
        <f t="shared" ca="1" si="3"/>
        <v>0</v>
      </c>
      <c r="D25" s="455">
        <f t="shared" si="4"/>
        <v>8.792825231358</v>
      </c>
      <c r="E25" s="455">
        <f t="shared" si="5"/>
        <v>20.147402706894088</v>
      </c>
      <c r="F25" s="455">
        <f t="shared" si="6"/>
        <v>2061.6219996366162</v>
      </c>
      <c r="G25" s="455">
        <f t="shared" si="7"/>
        <v>0</v>
      </c>
      <c r="H25" s="455">
        <f t="shared" si="8"/>
        <v>0</v>
      </c>
      <c r="I25" s="455">
        <f t="shared" si="9"/>
        <v>0</v>
      </c>
      <c r="J25" s="455">
        <f t="shared" si="10"/>
        <v>221.15967440288804</v>
      </c>
      <c r="K25" s="455">
        <f t="shared" si="11"/>
        <v>0</v>
      </c>
      <c r="L25" s="455">
        <f t="shared" si="12"/>
        <v>0</v>
      </c>
      <c r="M25" s="455">
        <f t="shared" si="13"/>
        <v>0</v>
      </c>
      <c r="N25" s="455">
        <f t="shared" si="14"/>
        <v>0</v>
      </c>
      <c r="O25" s="455">
        <f t="shared" si="15"/>
        <v>0</v>
      </c>
      <c r="P25" s="456">
        <f t="shared" si="16"/>
        <v>0</v>
      </c>
      <c r="Q25" s="454">
        <f t="shared" ca="1" si="17"/>
        <v>2731.9270070979474</v>
      </c>
    </row>
    <row r="26" spans="1:17">
      <c r="A26" s="454" t="s">
        <v>626</v>
      </c>
      <c r="B26" s="455">
        <f t="shared" ca="1" si="2"/>
        <v>1162.1681602579306</v>
      </c>
      <c r="C26" s="455">
        <f t="shared" ca="1" si="3"/>
        <v>0</v>
      </c>
      <c r="D26" s="455">
        <f t="shared" si="4"/>
        <v>363.71983276582802</v>
      </c>
      <c r="E26" s="455">
        <f t="shared" si="5"/>
        <v>5.8915677850839279</v>
      </c>
      <c r="F26" s="455">
        <f t="shared" si="6"/>
        <v>431.17455849990642</v>
      </c>
      <c r="G26" s="455">
        <f t="shared" si="7"/>
        <v>0</v>
      </c>
      <c r="H26" s="455">
        <f t="shared" si="8"/>
        <v>0</v>
      </c>
      <c r="I26" s="455">
        <f t="shared" si="9"/>
        <v>0</v>
      </c>
      <c r="J26" s="455">
        <f t="shared" si="10"/>
        <v>1.0746765004851193</v>
      </c>
      <c r="K26" s="455">
        <f t="shared" si="11"/>
        <v>0</v>
      </c>
      <c r="L26" s="455">
        <f t="shared" si="12"/>
        <v>0</v>
      </c>
      <c r="M26" s="455">
        <f t="shared" si="13"/>
        <v>0</v>
      </c>
      <c r="N26" s="455">
        <f t="shared" si="14"/>
        <v>0</v>
      </c>
      <c r="O26" s="455">
        <f t="shared" si="15"/>
        <v>0</v>
      </c>
      <c r="P26" s="456">
        <f t="shared" si="16"/>
        <v>0</v>
      </c>
      <c r="Q26" s="454">
        <f t="shared" ca="1" si="17"/>
        <v>1964.028795809234</v>
      </c>
    </row>
    <row r="27" spans="1:17" s="460" customFormat="1">
      <c r="A27" s="458" t="s">
        <v>552</v>
      </c>
      <c r="B27" s="778">
        <f t="shared" ca="1" si="2"/>
        <v>13.868789127409869</v>
      </c>
      <c r="C27" s="459">
        <f t="shared" ca="1" si="3"/>
        <v>0</v>
      </c>
      <c r="D27" s="459">
        <f t="shared" si="4"/>
        <v>66.986292367301587</v>
      </c>
      <c r="E27" s="459">
        <f t="shared" si="5"/>
        <v>40.193942992033243</v>
      </c>
      <c r="F27" s="459">
        <f t="shared" si="6"/>
        <v>0</v>
      </c>
      <c r="G27" s="459">
        <f t="shared" si="7"/>
        <v>20656.404098071078</v>
      </c>
      <c r="H27" s="459">
        <f t="shared" si="8"/>
        <v>5256.9365624115444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26034.389684969366</v>
      </c>
    </row>
    <row r="28" spans="1:17" ht="16.5" customHeight="1">
      <c r="A28" s="454" t="s">
        <v>542</v>
      </c>
      <c r="B28" s="455">
        <f t="shared" ca="1" si="2"/>
        <v>0</v>
      </c>
      <c r="C28" s="455">
        <f t="shared" ca="1" si="3"/>
        <v>0</v>
      </c>
      <c r="D28" s="455">
        <f t="shared" si="4"/>
        <v>0</v>
      </c>
      <c r="E28" s="455">
        <f t="shared" si="5"/>
        <v>0</v>
      </c>
      <c r="F28" s="455">
        <f t="shared" si="6"/>
        <v>0</v>
      </c>
      <c r="G28" s="455">
        <f t="shared" si="7"/>
        <v>448.2572662762496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448.2572662762496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89.318245061002671</v>
      </c>
      <c r="C32" s="455">
        <f t="shared" ca="1" si="3"/>
        <v>0</v>
      </c>
      <c r="D32" s="455">
        <f t="shared" si="4"/>
        <v>137.26129472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226.57953978100267</v>
      </c>
    </row>
    <row r="33" spans="1:17" s="466" customFormat="1">
      <c r="A33" s="464" t="s">
        <v>546</v>
      </c>
      <c r="B33" s="465">
        <f ca="1">SUM(B22:B32)</f>
        <v>7349.9766576345628</v>
      </c>
      <c r="C33" s="465">
        <f t="shared" ref="C33:Q33" ca="1" si="19">SUM(C22:C32)</f>
        <v>0</v>
      </c>
      <c r="D33" s="465">
        <f t="shared" ca="1" si="19"/>
        <v>7506.9452280883161</v>
      </c>
      <c r="E33" s="465">
        <f t="shared" si="19"/>
        <v>1153.5868436971091</v>
      </c>
      <c r="F33" s="465">
        <f t="shared" ca="1" si="19"/>
        <v>13707.368656590097</v>
      </c>
      <c r="G33" s="465">
        <f t="shared" si="19"/>
        <v>21104.661364347328</v>
      </c>
      <c r="H33" s="465">
        <f t="shared" si="19"/>
        <v>5256.9365624115444</v>
      </c>
      <c r="I33" s="465">
        <f t="shared" si="19"/>
        <v>0</v>
      </c>
      <c r="J33" s="465">
        <f t="shared" si="19"/>
        <v>222.23710377754924</v>
      </c>
      <c r="K33" s="465">
        <f t="shared" si="19"/>
        <v>0</v>
      </c>
      <c r="L33" s="465">
        <f t="shared" ca="1" si="19"/>
        <v>0</v>
      </c>
      <c r="M33" s="465">
        <f t="shared" si="19"/>
        <v>0</v>
      </c>
      <c r="N33" s="465">
        <f t="shared" ca="1" si="19"/>
        <v>0</v>
      </c>
      <c r="O33" s="465">
        <f t="shared" si="19"/>
        <v>0</v>
      </c>
      <c r="P33" s="465">
        <f t="shared" si="19"/>
        <v>0</v>
      </c>
      <c r="Q33" s="465">
        <f t="shared" ca="1" si="19"/>
        <v>56301.712416546499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8326.9486462265049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8370.5986462265046</v>
      </c>
      <c r="C10" s="1028">
        <f>SUM(C4:C9)</f>
        <v>0</v>
      </c>
      <c r="D10" s="1028">
        <f t="shared" ref="D10:H10" si="0">SUM(D8:D9)</f>
        <v>0</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0.17656154485002043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0.17656154485002043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2020-06-20T15:26:54Z</dcterms:modified>
</cp:coreProperties>
</file>