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F6" i="17" s="1"/>
  <c r="R34" i="18"/>
  <c r="Q34" i="18"/>
  <c r="P34" i="18"/>
  <c r="O34" i="18"/>
  <c r="N34" i="18"/>
  <c r="M34" i="18"/>
  <c r="W33" i="18"/>
  <c r="V33" i="18"/>
  <c r="U33" i="18"/>
  <c r="T33" i="18"/>
  <c r="S33" i="18"/>
  <c r="R33" i="18"/>
  <c r="Q33" i="18"/>
  <c r="P33" i="18"/>
  <c r="O33" i="18"/>
  <c r="C13" i="15" s="1"/>
  <c r="N33" i="18"/>
  <c r="B13" i="15" s="1"/>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0" i="13"/>
  <c r="C12" i="13" s="1"/>
  <c r="C29" i="20"/>
  <c r="C17" i="19"/>
  <c r="C19" i="19" s="1"/>
  <c r="D39" i="14" s="1"/>
  <c r="C20" i="16"/>
  <c r="C22" i="16" s="1"/>
  <c r="D43" i="14" s="1"/>
  <c r="C10" i="17"/>
  <c r="C12" i="17" s="1"/>
  <c r="D54" i="14" s="1"/>
  <c r="D56" i="14" s="1"/>
  <c r="C17" i="49"/>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<sst xmlns="http://schemas.openxmlformats.org/spreadsheetml/2006/main" count="2401" uniqueCount="886">
  <si>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</si>
  <si>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</si>
  <si>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</si>
  <si>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</si>
  <si>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</si>
  <si>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</si>
  <si>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</si>
  <si>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</si>
  <si>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</si>
  <si>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</si>
  <si>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</si>
  <si>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</si>
  <si>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</si>
  <si>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</si>
  <si>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</si>
  <si>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</si>
  <si>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</si>
  <si>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</si>
  <si>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</si>
  <si>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</si>
  <si>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</si>
  <si>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</si>
  <si>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</si>
  <si>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</si>
  <si>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</si>
  <si>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</si>
  <si>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</si>
  <si>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</si>
  <si>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</si>
  <si>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</si>
  <si>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</si>
  <si>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</si>
  <si>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</si>
  <si>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</si>
  <si>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</si>
  <si>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</si>
  <si>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</si>
  <si>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</si>
  <si>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</si>
  <si>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</si>
  <si>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</si>
  <si>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</si>
  <si>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</si>
  <si>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</si>
  <si>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</si>
  <si>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</si>
  <si>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</si>
  <si>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</si>
  <si>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</si>
  <si>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</si>
  <si>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</si>
  <si>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</si>
  <si>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</si>
  <si>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</si>
  <si>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</si>
  <si>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</si>
  <si>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</si>
  <si>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</si>
  <si>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</si>
  <si>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</si>
  <si>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</si>
  <si>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</si>
  <si>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</si>
  <si>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</si>
  <si>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</si>
  <si>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</si>
  <si>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</si>
  <si>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</si>
  <si>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</si>
  <si>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</si>
  <si>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</si>
  <si>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</si>
  <si>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</si>
  <si>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</si>
  <si>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</si>
  <si>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</si>
  <si>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</si>
  <si>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</si>
  <si>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</si>
  <si>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</si>
  <si>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</si>
  <si>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</si>
  <si>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</si>
  <si>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</si>
  <si>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</si>
  <si>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</si>
  <si>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</si>
  <si>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</si>
  <si>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</si>
  <si>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</si>
  <si>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</si>
  <si>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</si>
  <si>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</si>
  <si>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</si>
  <si>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</si>
  <si>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</si>
  <si>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</si>
  <si>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</si>
  <si>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</si>
  <si>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</si>
  <si>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</si>
  <si>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</si>
  <si>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</si>
  <si>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</si>
  <si>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</si>
  <si>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</si>
  <si>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</si>
  <si>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</si>
  <si>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</si>
  <si>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</si>
  <si>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</si>
  <si>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</si>
  <si>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</si>
  <si>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</si>
  <si>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</si>
  <si>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</si>
  <si>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</si>
  <si>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</si>
  <si>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</si>
  <si>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</si>
  <si>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</si>
  <si>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</si>
  <si>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</si>
  <si>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</si>
  <si>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</si>
  <si>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</si>
  <si>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</si>
  <si>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</si>
  <si>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</si>
  <si>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</si>
  <si>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</si>
  <si>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</si>
  <si>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</si>
  <si>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</si>
  <si>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</si>
  <si>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</si>
  <si>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</si>
  <si>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</si>
  <si>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</si>
  <si>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</si>
  <si>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</si>
  <si>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</si>
  <si>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</si>
  <si>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</si>
  <si>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</si>
  <si>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</si>
  <si>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</si>
  <si>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</si>
  <si>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</si>
  <si>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</si>
  <si>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</si>
  <si>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</si>
  <si>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</si>
  <si>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</si>
  <si>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</si>
  <si>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</si>
  <si>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</si>
  <si>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</si>
  <si>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</si>
  <si>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</si>
  <si>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</si>
  <si>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</si>
  <si>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</si>
  <si>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</si>
  <si>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</si>
  <si>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</si>
  <si>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</si>
  <si>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</si>
  <si>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</si>
  <si>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</si>
  <si>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</si>
  <si>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</si>
  <si>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</si>
  <si>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</si>
  <si>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</si>
  <si>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</si>
  <si>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</si>
  <si>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</si>
  <si>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</si>
  <si>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</si>
  <si>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</si>
  <si>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</si>
  <si>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</si>
  <si>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</si>
  <si>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</si>
  <si>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</si>
  <si>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</si>
  <si>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</si>
  <si>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</si>
  <si>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</si>
  <si>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</si>
  <si>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</si>
  <si>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</si>
  <si>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</si>
  <si>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</si>
  <si>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</si>
  <si>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</si>
  <si>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</si>
  <si>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</si>
  <si>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</si>
  <si>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</si>
  <si>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</si>
  <si>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</si>
  <si>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</si>
  <si>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</si>
  <si>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</si>
  <si>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</si>
  <si>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</si>
  <si>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</si>
  <si>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</si>
  <si>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</si>
  <si>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</si>
  <si>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</si>
  <si>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</si>
  <si>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</si>
  <si>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</si>
  <si>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</si>
  <si>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</si>
  <si>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</si>
  <si>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</si>
  <si>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</si>
  <si>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</si>
  <si>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</si>
  <si>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</si>
  <si>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</si>
  <si>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</si>
  <si>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</si>
  <si>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</si>
  <si>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</si>
  <si>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</si>
  <si>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</si>
  <si>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</si>
  <si>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</si>
  <si>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</si>
  <si>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</si>
  <si>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</si>
  <si>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</si>
  <si>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</si>
  <si>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</si>
  <si>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</si>
  <si>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</si>
  <si>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</si>
  <si>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</si>
  <si>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</si>
  <si>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</si>
  <si>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</si>
  <si>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</si>
  <si>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</si>
  <si>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</si>
  <si>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</si>
  <si>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</si>
  <si>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</si>
  <si>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</si>
  <si>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</si>
  <si>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</si>
  <si>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</si>
  <si>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</si>
  <si>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</si>
  <si>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</si>
  <si>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</si>
  <si>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</si>
  <si>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</si>
  <si>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</si>
  <si>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</si>
  <si>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</si>
  <si>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</si>
  <si>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</si>
  <si>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</si>
  <si>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</si>
  <si>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</si>
  <si>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</si>
  <si>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</si>
  <si>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</si>
  <si>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</si>
  <si>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</si>
  <si>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</si>
  <si>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</si>
  <si>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</si>
  <si>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</si>
  <si>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</si>
  <si>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</si>
  <si>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</si>
  <si>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</si>
  <si>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</si>
  <si>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</si>
  <si>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</si>
  <si>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</si>
  <si>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</si>
  <si>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</si>
  <si>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</si>
  <si>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</si>
  <si>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</si>
  <si>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</si>
  <si>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</si>
  <si>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</si>
  <si>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</si>
  <si>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</si>
  <si>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</si>
  <si>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</si>
  <si>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</si>
  <si>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</si>
  <si>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</si>
  <si>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</si>
  <si>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</si>
  <si>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</si>
  <si>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</si>
  <si>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</si>
  <si>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</si>
  <si>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</si>
  <si>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</si>
  <si>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</si>
  <si>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</si>
  <si>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</si>
  <si>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</si>
  <si>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</si>
  <si>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</si>
  <si>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</si>
  <si>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</si>
  <si>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</si>
  <si>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</si>
  <si>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</si>
  <si>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</si>
  <si>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</si>
  <si>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</si>
  <si>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</si>
  <si>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</si>
  <si>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</si>
  <si>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</si>
  <si>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</si>
  <si>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</si>
  <si>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</si>
  <si>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</si>
  <si>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</si>
  <si>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</si>
  <si>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</si>
  <si>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</si>
  <si>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</si>
  <si>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</si>
  <si>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</si>
  <si>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</si>
  <si>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</si>
  <si>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</si>
  <si>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</si>
  <si>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</si>
  <si>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</si>
  <si>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</si>
  <si>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</si>
  <si>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</si>
  <si>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</si>
  <si>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</si>
  <si>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</si>
  <si>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</si>
  <si>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</si>
  <si>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</si>
  <si>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</si>
  <si>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</si>
  <si>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</si>
  <si>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</si>
  <si>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</si>
  <si>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</si>
  <si>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</si>
  <si>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</si>
  <si>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</si>
  <si>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</si>
  <si>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</si>
  <si>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</si>
  <si>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</si>
  <si>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</si>
  <si>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</si>
  <si>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</si>
  <si>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</si>
  <si>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</si>
  <si>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</si>
  <si>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</si>
  <si>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</si>
  <si>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</si>
  <si>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</si>
  <si>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</si>
  <si>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</si>
  <si>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</si>
  <si>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</si>
  <si>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</si>
  <si>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</si>
  <si>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</si>
  <si>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</si>
  <si>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</si>
  <si>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</si>
  <si>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</si>
  <si>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</si>
  <si>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</si>
  <si>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</si>
  <si>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</si>
  <si>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</si>
  <si>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</si>
  <si>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</si>
  <si>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</si>
  <si>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</si>
  <si>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</si>
  <si>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</si>
  <si>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</si>
  <si>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</si>
  <si>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</si>
  <si>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</si>
  <si>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</si>
  <si>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</si>
  <si>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</si>
  <si>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</si>
  <si>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</si>
  <si>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</si>
  <si>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</si>
  <si>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</si>
  <si>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</si>
  <si>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</si>
  <si>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</si>
  <si>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</si>
  <si>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</si>
  <si>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</si>
  <si>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</si>
  <si>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</si>
  <si>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</si>
  <si>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</si>
  <si>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</si>
  <si>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</si>
  <si>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</si>
  <si>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</si>
  <si>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</si>
  <si>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</si>
  <si>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</si>
  <si>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</si>
  <si>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</si>
  <si>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</si>
  <si>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</si>
  <si>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</si>
  <si>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</si>
  <si>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</si>
  <si>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</si>
  <si>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</si>
  <si>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</si>
  <si>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</si>
  <si>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</si>
  <si>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</si>
  <si>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</si>
  <si>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</si>
  <si>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</si>
  <si>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</si>
  <si>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</si>
  <si>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</si>
  <si>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</si>
  <si>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</si>
  <si>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</si>
  <si>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</si>
  <si>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</si>
  <si>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</si>
  <si>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</si>
  <si>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</si>
  <si>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</si>
  <si>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</si>
  <si>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</si>
  <si>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</si>
  <si>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</si>
  <si>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</si>
  <si>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</si>
  <si>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</si>
  <si>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</si>
  <si>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</si>
  <si>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</si>
  <si>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</si>
  <si>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</si>
  <si>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</si>
  <si>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</si>
  <si>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</si>
  <si>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</si>
  <si>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</si>
  <si>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</si>
  <si>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</si>
  <si>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</si>
  <si>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</si>
  <si>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</si>
  <si>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</si>
  <si>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</si>
  <si>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</si>
  <si>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</si>
  <si>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</si>
  <si>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</si>
  <si>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</si>
  <si>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</si>
  <si>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</si>
  <si>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</si>
  <si>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</si>
  <si>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</si>
  <si>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</si>
  <si>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</si>
  <si>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</si>
  <si>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</si>
  <si>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</si>
  <si>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</si>
  <si>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</si>
  <si>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</si>
  <si>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</si>
  <si>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</si>
  <si>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</si>
  <si>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</si>
  <si>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</si>
  <si>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</si>
  <si>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</si>
  <si>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</si>
  <si>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</si>
  <si>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</si>
  <si>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</si>
  <si>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</si>
  <si>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</si>
  <si>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</si>
  <si>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</si>
  <si>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</si>
  <si>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</si>
  <si>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</si>
  <si>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</si>
  <si>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</si>
  <si>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</si>
  <si>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</si>
  <si>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</si>
  <si>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</si>
  <si>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</si>
  <si>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</si>
  <si>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</si>
  <si>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</si>
  <si>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</si>
  <si>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</si>
  <si>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</si>
  <si>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</si>
  <si>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</si>
  <si>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</si>
  <si>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</si>
  <si>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</si>
  <si>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</si>
  <si>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</si>
  <si>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</si>
  <si>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</si>
  <si>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</si>
  <si>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</si>
  <si>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</si>
  <si>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</si>
  <si>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</si>
  <si>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</si>
  <si>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</si>
  <si>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</si>
  <si>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</si>
  <si>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</si>
  <si>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</si>
  <si>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</si>
  <si>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</si>
  <si>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</si>
  <si>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</si>
  <si>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</si>
  <si>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</si>
  <si>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</si>
  <si>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</si>
  <si>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</si>
  <si>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</si>
  <si>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</si>
  <si>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</si>
  <si>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</si>
  <si>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</si>
  <si>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</si>
  <si>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</si>
  <si>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</si>
  <si>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</si>
  <si>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</si>
  <si>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</si>
  <si>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</si>
  <si>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</si>
  <si>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</si>
  <si>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</si>
  <si>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</si>
  <si>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</si>
  <si>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</si>
  <si>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</si>
  <si>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</si>
  <si>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</si>
  <si>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</si>
  <si>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</si>
  <si>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</si>
  <si>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</si>
  <si>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</si>
  <si>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</si>
  <si>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</si>
  <si>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</si>
  <si>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</si>
  <si>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</si>
  <si>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</si>
  <si>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</si>
  <si>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</si>
  <si>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</si>
  <si>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</si>
  <si>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</si>
  <si>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</si>
  <si>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</si>
  <si>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</si>
  <si>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</si>
  <si>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</si>
  <si>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</si>
  <si>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</si>
  <si>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</si>
  <si>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</si>
  <si>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</si>
  <si>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</si>
  <si>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</si>
  <si>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</si>
  <si>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</si>
  <si>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</si>
  <si>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</si>
  <si>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</si>
  <si>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</si>
  <si>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</si>
  <si>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</si>
  <si>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</si>
  <si>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</si>
  <si>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</si>
  <si>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</si>
  <si>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</si>
  <si>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</si>
  <si>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</si>
  <si>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</si>
  <si>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</si>
  <si>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</si>
  <si>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</si>
  <si>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</si>
  <si>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</si>
  <si>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</si>
  <si>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</si>
  <si>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</si>
  <si>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</si>
  <si>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</si>
  <si>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</si>
  <si>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</si>
  <si>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</si>
  <si>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</si>
  <si>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</si>
  <si>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</si>
  <si>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</si>
  <si>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</si>
  <si>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</si>
  <si>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</si>
  <si>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</si>
  <si>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</si>
  <si>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</si>
  <si>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</si>
  <si>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</si>
  <si>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</si>
  <si>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</si>
  <si>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</si>
  <si>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</si>
  <si>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</si>
  <si>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</si>
  <si>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</si>
  <si>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</si>
  <si>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</si>
  <si>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</si>
  <si>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</si>
  <si>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</si>
  <si>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</si>
  <si>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</si>
  <si>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</si>
  <si>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</si>
  <si>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</si>
  <si>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</si>
  <si>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</si>
  <si>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</si>
  <si>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</si>
  <si>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</si>
  <si>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</si>
  <si>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</si>
  <si>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</si>
  <si>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</si>
  <si>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</si>
  <si>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</si>
  <si>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</si>
  <si>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</si>
  <si>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</si>
  <si>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</si>
  <si>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</si>
  <si>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</si>
  <si>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</si>
  <si>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</si>
  <si>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</si>
  <si>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</si>
  <si>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</si>
  <si>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</si>
  <si>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</si>
  <si>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</si>
  <si>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</si>
  <si>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</si>
  <si>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</si>
  <si>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</si>
  <si>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</si>
  <si>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</si>
  <si>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</si>
  <si>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</si>
  <si>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</si>
  <si>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</si>
  <si>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</si>
  <si>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</si>
  <si>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</si>
  <si>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</si>
  <si>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</si>
  <si>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</si>
  <si>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</si>
  <si>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</si>
  <si>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</si>
  <si>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</si>
  <si>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</si>
  <si>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</si>
  <si>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</si>
  <si>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</si>
  <si>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</si>
  <si>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</si>
  <si>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</si>
  <si>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</si>
  <si>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</si>
  <si>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</si>
  <si>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</si>
  <si>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</si>
  <si>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</si>
  <si>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</si>
  <si>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</si>
  <si>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</si>
  <si>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</si>
  <si>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</si>
  <si>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</si>
  <si>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</si>
  <si>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</si>
  <si>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</si>
  <si>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</si>
  <si>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</si>
  <si>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</si>
  <si>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</si>
  <si>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</si>
  <si>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</si>
  <si>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</si>
  <si>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</si>
  <si>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</si>
  <si>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</si>
  <si>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</si>
  <si>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</si>
  <si>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</si>
  <si>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</si>
  <si>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</si>
  <si>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</si>
  <si>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</si>
  <si>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</si>
  <si>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</si>
  <si>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</si>
  <si>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</si>
  <si>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</si>
  <si>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</si>
  <si>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</si>
  <si>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</si>
  <si>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</si>
  <si>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</si>
  <si>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</si>
  <si>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</si>
  <si>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</si>
  <si>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</si>
  <si>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</si>
  <si>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</si>
  <si>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</si>
  <si>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</si>
  <si>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</si>
  <si>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</si>
  <si>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</si>
  <si>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</si>
  <si>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</si>
  <si>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</si>
  <si>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</si>
  <si>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</si>
  <si>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</si>
  <si>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</si>
  <si>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</si>
  <si>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</si>
  <si>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</si>
  <si>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</si>
  <si>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</si>
  <si>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</si>
  <si>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</si>
  <si>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</si>
  <si>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</si>
  <si>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</si>
  <si>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</si>
  <si>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</si>
  <si>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</si>
  <si>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</si>
  <si>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</si>
  <si>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</si>
  <si>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</si>
  <si>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</si>
  <si>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</si>
  <si>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</si>
  <si>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</si>
  <si>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</si>
  <si>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</si>
  <si>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</si>
  <si>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</si>
  <si>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</si>
  <si>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</si>
  <si>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</si>
  <si>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</si>
  <si>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</si>
  <si>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</si>
  <si>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</si>
  <si>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</si>
  <si>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</si>
  <si>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</si>
  <si>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</si>
  <si>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</si>
  <si>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</si>
  <si>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</si>
  <si>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</si>
  <si>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</si>
  <si>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</si>
  <si>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</si>
  <si>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</si>
  <si>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</si>
  <si>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</si>
  <si>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</si>
  <si>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</si>
  <si>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</si>
  <si>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</si>
  <si>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</si>
  <si>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</si>
  <si>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</si>
  <si>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</si>
  <si>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</si>
  <si>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</si>
  <si>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</si>
  <si>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</si>
  <si>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</si>
  <si>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</si>
  <si>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</si>
  <si>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</si>
  <si>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</si>
  <si>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</si>
  <si>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</si>
  <si>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</si>
  <si>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</si>
  <si>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</si>
  <si>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</si>
  <si>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</si>
  <si>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</si>
  <si>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</si>
  <si>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</si>
  <si>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</si>
  <si>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</si>
  <si>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</si>
  <si>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</si>
  <si>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</si>
  <si>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</si>
  <si>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</si>
  <si>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</si>
  <si>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</si>
  <si>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</si>
  <si>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</si>
  <si>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</si>
  <si>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72039</t>
  </si>
  <si>
    <t>HOUTHALEN-HELCHTEREN</t>
  </si>
  <si>
    <t>referentietaak LNE (2017); Jaarverslag De Lijn</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</si>
  <si>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</si>
  <si>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</si>
  <si>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</si>
  <si>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</si>
  <si>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</si>
  <si>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</si>
  <si>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</si>
  <si>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</si>
  <si>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</si>
  <si>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Timmers</t>
  </si>
  <si>
    <t>WKK-0845</t>
  </si>
  <si>
    <t>Brandstofcel</t>
  </si>
  <si>
    <t>brandstofcel</t>
  </si>
  <si>
    <t>Maasveld 4</t>
  </si>
  <si>
    <t>Inter-energa (via INFRAX)</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</si>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</sst>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237126.39928549324</c:v>
                </c:pt>
                <c:pt idx="1">
                  <c:v>133508.34035901527</c:v>
                </c:pt>
                <c:pt idx="2">
                  <c:v>1770.3344320000001</c:v>
                </c:pt>
                <c:pt idx="3">
                  <c:v>20868.970197977171</c:v>
                </c:pt>
                <c:pt idx="4">
                  <c:v>58261.661977109048</c:v>
                </c:pt>
                <c:pt idx="5">
                  <c:v>225368.6670243119</c:v>
                </c:pt>
                <c:pt idx="6">
                  <c:v>3786.8197977703076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237126.39928549324</c:v>
                </c:pt>
                <c:pt idx="1">
                  <c:v>133508.34035901527</c:v>
                </c:pt>
                <c:pt idx="2">
                  <c:v>1770.3344320000001</c:v>
                </c:pt>
                <c:pt idx="3">
                  <c:v>20868.970197977171</c:v>
                </c:pt>
                <c:pt idx="4">
                  <c:v>58261.661977109048</c:v>
                </c:pt>
                <c:pt idx="5">
                  <c:v>225368.6670243119</c:v>
                </c:pt>
                <c:pt idx="6">
                  <c:v>3786.8197977703076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43166.776537234342</c:v>
                </c:pt>
                <c:pt idx="1">
                  <c:v>24675.42817822719</c:v>
                </c:pt>
                <c:pt idx="2">
                  <c:v>266.37122957721886</c:v>
                </c:pt>
                <c:pt idx="3">
                  <c:v>594.75407759839027</c:v>
                </c:pt>
                <c:pt idx="4">
                  <c:v>10374.051241369822</c:v>
                </c:pt>
                <c:pt idx="5">
                  <c:v>55966.847780119802</c:v>
                </c:pt>
                <c:pt idx="6">
                  <c:v>959.03802071490304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43166.776537234342</c:v>
                </c:pt>
                <c:pt idx="1">
                  <c:v>24675.42817822719</c:v>
                </c:pt>
                <c:pt idx="2">
                  <c:v>266.37122957721886</c:v>
                </c:pt>
                <c:pt idx="3">
                  <c:v>594.75407759839027</c:v>
                </c:pt>
                <c:pt idx="4">
                  <c:v>10374.051241369822</c:v>
                </c:pt>
                <c:pt idx="5">
                  <c:v>55966.847780119802</c:v>
                </c:pt>
                <c:pt idx="6">
                  <c:v>959.03802071490304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72039</v>
      </c>
      <c r="B6" s="392"/>
      <c r="C6" s="393"/>
    </row>
    <row r="7" spans="1:7" s="390" customFormat="1" ht="15.75" customHeight="1">
      <c r="A7" s="394" t="str">
        <f>txtMunicipality</f>
        <v>HOUTHALEN-HELCHTEREN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0.15046379077443084</v>
      </c>
      <c r="C17" s="504">
        <f ca="1">'EF ele_warmte'!B22</f>
        <v>1.0724497856490269E-2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0.15046379077443084</v>
      </c>
      <c r="C29" s="505">
        <f ca="1">'EF ele_warmte'!B22</f>
        <v>1.0724497856490269E-2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11891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2494.79</v>
      </c>
      <c r="C14" s="332"/>
      <c r="D14" s="332"/>
      <c r="E14" s="332"/>
      <c r="F14" s="332"/>
    </row>
    <row r="15" spans="1:6">
      <c r="A15" s="1310" t="s">
        <v>183</v>
      </c>
      <c r="B15" s="1311">
        <v>1201</v>
      </c>
      <c r="C15" s="332"/>
      <c r="D15" s="332"/>
      <c r="E15" s="332"/>
      <c r="F15" s="332"/>
    </row>
    <row r="16" spans="1:6">
      <c r="A16" s="1310" t="s">
        <v>6</v>
      </c>
      <c r="B16" s="1311">
        <v>430</v>
      </c>
      <c r="C16" s="332"/>
      <c r="D16" s="332"/>
      <c r="E16" s="332"/>
      <c r="F16" s="332"/>
    </row>
    <row r="17" spans="1:6">
      <c r="A17" s="1310" t="s">
        <v>7</v>
      </c>
      <c r="B17" s="1311">
        <v>20</v>
      </c>
      <c r="C17" s="332"/>
      <c r="D17" s="332"/>
      <c r="E17" s="332"/>
      <c r="F17" s="332"/>
    </row>
    <row r="18" spans="1:6">
      <c r="A18" s="1310" t="s">
        <v>8</v>
      </c>
      <c r="B18" s="1311">
        <v>188</v>
      </c>
      <c r="C18" s="332"/>
      <c r="D18" s="332"/>
      <c r="E18" s="332"/>
      <c r="F18" s="332"/>
    </row>
    <row r="19" spans="1:6">
      <c r="A19" s="1310" t="s">
        <v>9</v>
      </c>
      <c r="B19" s="1311">
        <v>175</v>
      </c>
      <c r="C19" s="332"/>
      <c r="D19" s="332"/>
      <c r="E19" s="332"/>
      <c r="F19" s="332"/>
    </row>
    <row r="20" spans="1:6">
      <c r="A20" s="1310" t="s">
        <v>10</v>
      </c>
      <c r="B20" s="1311">
        <v>56</v>
      </c>
      <c r="C20" s="332"/>
      <c r="D20" s="332"/>
      <c r="E20" s="332"/>
      <c r="F20" s="332"/>
    </row>
    <row r="21" spans="1:6">
      <c r="A21" s="1310" t="s">
        <v>11</v>
      </c>
      <c r="B21" s="1311">
        <v>5690</v>
      </c>
      <c r="C21" s="332"/>
      <c r="D21" s="332"/>
      <c r="E21" s="332"/>
      <c r="F21" s="332"/>
    </row>
    <row r="22" spans="1:6">
      <c r="A22" s="1310" t="s">
        <v>12</v>
      </c>
      <c r="B22" s="1311">
        <v>2820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1389</v>
      </c>
      <c r="C26" s="332"/>
      <c r="D26" s="332"/>
      <c r="E26" s="332"/>
      <c r="F26" s="332"/>
    </row>
    <row r="27" spans="1:6">
      <c r="A27" s="1310" t="s">
        <v>17</v>
      </c>
      <c r="B27" s="1311">
        <v>0</v>
      </c>
      <c r="C27" s="332"/>
      <c r="D27" s="332"/>
      <c r="E27" s="332"/>
      <c r="F27" s="332"/>
    </row>
    <row r="28" spans="1:6" s="43" customFormat="1">
      <c r="A28" s="1312" t="s">
        <v>18</v>
      </c>
      <c r="B28" s="1313">
        <v>28200</v>
      </c>
      <c r="C28" s="338"/>
      <c r="D28" s="338"/>
      <c r="E28" s="338"/>
      <c r="F28" s="338"/>
    </row>
    <row r="29" spans="1:6">
      <c r="A29" s="1312" t="s">
        <v>699</v>
      </c>
      <c r="B29" s="1313">
        <v>85</v>
      </c>
      <c r="C29" s="338"/>
      <c r="D29" s="338"/>
      <c r="E29" s="338"/>
      <c r="F29" s="338"/>
    </row>
    <row r="30" spans="1:6">
      <c r="A30" s="1305" t="s">
        <v>700</v>
      </c>
      <c r="B30" s="1314">
        <v>15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322268.46999999997</v>
      </c>
      <c r="E36" s="1311">
        <v>4</v>
      </c>
      <c r="F36" s="1311">
        <v>376684.67800000001</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18902.61</v>
      </c>
    </row>
    <row r="39" spans="1:6">
      <c r="A39" s="1310" t="s">
        <v>29</v>
      </c>
      <c r="B39" s="1310" t="s">
        <v>30</v>
      </c>
      <c r="C39" s="1311">
        <v>6759</v>
      </c>
      <c r="D39" s="1311">
        <v>97843489.163000494</v>
      </c>
      <c r="E39" s="1311">
        <v>11873</v>
      </c>
      <c r="F39" s="1311">
        <v>36187806.938999899</v>
      </c>
    </row>
    <row r="40" spans="1:6">
      <c r="A40" s="1310" t="s">
        <v>29</v>
      </c>
      <c r="B40" s="1310" t="s">
        <v>28</v>
      </c>
      <c r="C40" s="1311">
        <v>0</v>
      </c>
      <c r="D40" s="1311">
        <v>0</v>
      </c>
      <c r="E40" s="1311">
        <v>0</v>
      </c>
      <c r="F40" s="1311">
        <v>0</v>
      </c>
    </row>
    <row r="41" spans="1:6">
      <c r="A41" s="1310" t="s">
        <v>31</v>
      </c>
      <c r="B41" s="1310" t="s">
        <v>32</v>
      </c>
      <c r="C41" s="1311">
        <v>113</v>
      </c>
      <c r="D41" s="1311">
        <v>10674486.813999999</v>
      </c>
      <c r="E41" s="1311">
        <v>217</v>
      </c>
      <c r="F41" s="1311">
        <v>6663923.4950000001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27</v>
      </c>
      <c r="D44" s="1311">
        <v>12410798.206</v>
      </c>
      <c r="E44" s="1311">
        <v>45</v>
      </c>
      <c r="F44" s="1311">
        <v>12405958.825999999</v>
      </c>
    </row>
    <row r="45" spans="1:6">
      <c r="A45" s="1310" t="s">
        <v>31</v>
      </c>
      <c r="B45" s="1310" t="s">
        <v>36</v>
      </c>
      <c r="C45" s="1311">
        <v>9</v>
      </c>
      <c r="D45" s="1311">
        <v>4391733.148</v>
      </c>
      <c r="E45" s="1311">
        <v>11</v>
      </c>
      <c r="F45" s="1311">
        <v>4148929.4539999999</v>
      </c>
    </row>
    <row r="46" spans="1:6">
      <c r="A46" s="1310" t="s">
        <v>31</v>
      </c>
      <c r="B46" s="1310" t="s">
        <v>37</v>
      </c>
      <c r="C46" s="1311">
        <v>0</v>
      </c>
      <c r="D46" s="1311">
        <v>0</v>
      </c>
      <c r="E46" s="1311">
        <v>0</v>
      </c>
      <c r="F46" s="1311">
        <v>0</v>
      </c>
    </row>
    <row r="47" spans="1:6">
      <c r="A47" s="1310" t="s">
        <v>31</v>
      </c>
      <c r="B47" s="1310" t="s">
        <v>38</v>
      </c>
      <c r="C47" s="1311">
        <v>5</v>
      </c>
      <c r="D47" s="1311">
        <v>268732.69900000002</v>
      </c>
      <c r="E47" s="1311">
        <v>8</v>
      </c>
      <c r="F47" s="1311">
        <v>970951.06499999994</v>
      </c>
    </row>
    <row r="48" spans="1:6">
      <c r="A48" s="1310" t="s">
        <v>31</v>
      </c>
      <c r="B48" s="1310" t="s">
        <v>28</v>
      </c>
      <c r="C48" s="1311">
        <v>1</v>
      </c>
      <c r="D48" s="1311">
        <v>1399056.4620000001</v>
      </c>
      <c r="E48" s="1311">
        <v>1</v>
      </c>
      <c r="F48" s="1311">
        <v>74458</v>
      </c>
    </row>
    <row r="49" spans="1:6">
      <c r="A49" s="1310" t="s">
        <v>31</v>
      </c>
      <c r="B49" s="1310" t="s">
        <v>39</v>
      </c>
      <c r="C49" s="1311">
        <v>4</v>
      </c>
      <c r="D49" s="1311">
        <v>195743.818</v>
      </c>
      <c r="E49" s="1311">
        <v>4</v>
      </c>
      <c r="F49" s="1311">
        <v>158032.79</v>
      </c>
    </row>
    <row r="50" spans="1:6">
      <c r="A50" s="1310" t="s">
        <v>31</v>
      </c>
      <c r="B50" s="1310" t="s">
        <v>40</v>
      </c>
      <c r="C50" s="1311">
        <v>11</v>
      </c>
      <c r="D50" s="1311">
        <v>713971.799</v>
      </c>
      <c r="E50" s="1311">
        <v>18</v>
      </c>
      <c r="F50" s="1311">
        <v>571587.58200000005</v>
      </c>
    </row>
    <row r="51" spans="1:6">
      <c r="A51" s="1310" t="s">
        <v>41</v>
      </c>
      <c r="B51" s="1310" t="s">
        <v>42</v>
      </c>
      <c r="C51" s="1311">
        <v>0</v>
      </c>
      <c r="D51" s="1311">
        <v>0</v>
      </c>
      <c r="E51" s="1311">
        <v>15</v>
      </c>
      <c r="F51" s="1311">
        <v>340224.33100000001</v>
      </c>
    </row>
    <row r="52" spans="1:6">
      <c r="A52" s="1310" t="s">
        <v>41</v>
      </c>
      <c r="B52" s="1310" t="s">
        <v>28</v>
      </c>
      <c r="C52" s="1311">
        <v>2</v>
      </c>
      <c r="D52" s="1311">
        <v>41211.307999999997</v>
      </c>
      <c r="E52" s="1311">
        <v>0</v>
      </c>
      <c r="F52" s="1311">
        <v>0</v>
      </c>
    </row>
    <row r="53" spans="1:6">
      <c r="A53" s="1310" t="s">
        <v>43</v>
      </c>
      <c r="B53" s="1310" t="s">
        <v>44</v>
      </c>
      <c r="C53" s="1311">
        <v>76</v>
      </c>
      <c r="D53" s="1311">
        <v>1968964.318</v>
      </c>
      <c r="E53" s="1311">
        <v>192</v>
      </c>
      <c r="F53" s="1311">
        <v>5018477.2649999997</v>
      </c>
    </row>
    <row r="54" spans="1:6">
      <c r="A54" s="1310" t="s">
        <v>45</v>
      </c>
      <c r="B54" s="1310" t="s">
        <v>46</v>
      </c>
      <c r="C54" s="1311">
        <v>0</v>
      </c>
      <c r="D54" s="1311">
        <v>0</v>
      </c>
      <c r="E54" s="1311">
        <v>3</v>
      </c>
      <c r="F54" s="1311">
        <v>1770334.432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89</v>
      </c>
      <c r="D57" s="1311">
        <v>17118074.103999998</v>
      </c>
      <c r="E57" s="1311">
        <v>182</v>
      </c>
      <c r="F57" s="1311">
        <v>23565221.563000001</v>
      </c>
    </row>
    <row r="58" spans="1:6">
      <c r="A58" s="1310" t="s">
        <v>48</v>
      </c>
      <c r="B58" s="1310" t="s">
        <v>50</v>
      </c>
      <c r="C58" s="1311">
        <v>36</v>
      </c>
      <c r="D58" s="1311">
        <v>2378368.8760000002</v>
      </c>
      <c r="E58" s="1311">
        <v>98</v>
      </c>
      <c r="F58" s="1311">
        <v>2535220.2480000001</v>
      </c>
    </row>
    <row r="59" spans="1:6">
      <c r="A59" s="1310" t="s">
        <v>48</v>
      </c>
      <c r="B59" s="1310" t="s">
        <v>51</v>
      </c>
      <c r="C59" s="1311">
        <v>163</v>
      </c>
      <c r="D59" s="1311">
        <v>9816846.9930000007</v>
      </c>
      <c r="E59" s="1311">
        <v>307</v>
      </c>
      <c r="F59" s="1311">
        <v>10744455.809</v>
      </c>
    </row>
    <row r="60" spans="1:6">
      <c r="A60" s="1310" t="s">
        <v>48</v>
      </c>
      <c r="B60" s="1310" t="s">
        <v>52</v>
      </c>
      <c r="C60" s="1311">
        <v>82</v>
      </c>
      <c r="D60" s="1311">
        <v>11564610.051000001</v>
      </c>
      <c r="E60" s="1311">
        <v>129</v>
      </c>
      <c r="F60" s="1311">
        <v>5857366.8399999999</v>
      </c>
    </row>
    <row r="61" spans="1:6">
      <c r="A61" s="1310" t="s">
        <v>48</v>
      </c>
      <c r="B61" s="1310" t="s">
        <v>53</v>
      </c>
      <c r="C61" s="1311">
        <v>207</v>
      </c>
      <c r="D61" s="1311">
        <v>13009694.034</v>
      </c>
      <c r="E61" s="1311">
        <v>400</v>
      </c>
      <c r="F61" s="1311">
        <v>6435971.6500000004</v>
      </c>
    </row>
    <row r="62" spans="1:6">
      <c r="A62" s="1310" t="s">
        <v>48</v>
      </c>
      <c r="B62" s="1310" t="s">
        <v>54</v>
      </c>
      <c r="C62" s="1311">
        <v>29</v>
      </c>
      <c r="D62" s="1311">
        <v>3632734.3689999999</v>
      </c>
      <c r="E62" s="1311">
        <v>32</v>
      </c>
      <c r="F62" s="1311">
        <v>927431.95700000005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802014.41200000001</v>
      </c>
      <c r="E65" s="1311">
        <v>0</v>
      </c>
      <c r="F65" s="1311">
        <v>0</v>
      </c>
    </row>
    <row r="66" spans="1:6">
      <c r="A66" s="1310" t="s">
        <v>55</v>
      </c>
      <c r="B66" s="1310" t="s">
        <v>57</v>
      </c>
      <c r="C66" s="1311">
        <v>0</v>
      </c>
      <c r="D66" s="1311">
        <v>0</v>
      </c>
      <c r="E66" s="1311">
        <v>21</v>
      </c>
      <c r="F66" s="1311">
        <v>868757.99399999995</v>
      </c>
    </row>
    <row r="67" spans="1:6">
      <c r="A67" s="1312" t="s">
        <v>55</v>
      </c>
      <c r="B67" s="1312" t="s">
        <v>58</v>
      </c>
      <c r="C67" s="1311">
        <v>0</v>
      </c>
      <c r="D67" s="1311">
        <v>0</v>
      </c>
      <c r="E67" s="1311">
        <v>0</v>
      </c>
      <c r="F67" s="1311">
        <v>0</v>
      </c>
    </row>
    <row r="68" spans="1:6">
      <c r="A68" s="1305" t="s">
        <v>55</v>
      </c>
      <c r="B68" s="1305" t="s">
        <v>59</v>
      </c>
      <c r="C68" s="1314">
        <v>10</v>
      </c>
      <c r="D68" s="1314">
        <v>528030.603</v>
      </c>
      <c r="E68" s="1314">
        <v>13</v>
      </c>
      <c r="F68" s="1314">
        <v>329765.22600000002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146364568</v>
      </c>
      <c r="E73" s="453"/>
      <c r="F73" s="332"/>
    </row>
    <row r="74" spans="1:6">
      <c r="A74" s="1310" t="s">
        <v>63</v>
      </c>
      <c r="B74" s="1310" t="s">
        <v>648</v>
      </c>
      <c r="C74" s="1324" t="s">
        <v>650</v>
      </c>
      <c r="D74" s="1325">
        <v>11827146.080029245</v>
      </c>
      <c r="E74" s="453"/>
      <c r="F74" s="332"/>
    </row>
    <row r="75" spans="1:6">
      <c r="A75" s="1310" t="s">
        <v>64</v>
      </c>
      <c r="B75" s="1310" t="s">
        <v>647</v>
      </c>
      <c r="C75" s="1324" t="s">
        <v>651</v>
      </c>
      <c r="D75" s="1325">
        <v>50965572</v>
      </c>
      <c r="E75" s="453"/>
      <c r="F75" s="332"/>
    </row>
    <row r="76" spans="1:6">
      <c r="A76" s="1310" t="s">
        <v>64</v>
      </c>
      <c r="B76" s="1310" t="s">
        <v>648</v>
      </c>
      <c r="C76" s="1324" t="s">
        <v>652</v>
      </c>
      <c r="D76" s="1325">
        <v>720772.080029245</v>
      </c>
      <c r="E76" s="453"/>
      <c r="F76" s="332"/>
    </row>
    <row r="77" spans="1:6">
      <c r="A77" s="1310" t="s">
        <v>65</v>
      </c>
      <c r="B77" s="1310" t="s">
        <v>647</v>
      </c>
      <c r="C77" s="1324" t="s">
        <v>653</v>
      </c>
      <c r="D77" s="1325">
        <v>47684897</v>
      </c>
      <c r="E77" s="453"/>
      <c r="F77" s="332"/>
    </row>
    <row r="78" spans="1:6">
      <c r="A78" s="1305" t="s">
        <v>65</v>
      </c>
      <c r="B78" s="1305" t="s">
        <v>648</v>
      </c>
      <c r="C78" s="1305" t="s">
        <v>654</v>
      </c>
      <c r="D78" s="1326">
        <v>7997615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1050371.83994151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10682.617316386732</v>
      </c>
      <c r="C91" s="332"/>
      <c r="D91" s="332"/>
      <c r="E91" s="332"/>
      <c r="F91" s="332"/>
    </row>
    <row r="92" spans="1:6">
      <c r="A92" s="1305" t="s">
        <v>68</v>
      </c>
      <c r="B92" s="1306">
        <v>7555.1197483114674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2539</v>
      </c>
      <c r="C97" s="332"/>
      <c r="D97" s="332"/>
      <c r="E97" s="332"/>
      <c r="F97" s="332"/>
    </row>
    <row r="98" spans="1:6">
      <c r="A98" s="1310" t="s">
        <v>71</v>
      </c>
      <c r="B98" s="1311">
        <v>4</v>
      </c>
      <c r="C98" s="332"/>
      <c r="D98" s="332"/>
      <c r="E98" s="332"/>
      <c r="F98" s="332"/>
    </row>
    <row r="99" spans="1:6">
      <c r="A99" s="1310" t="s">
        <v>72</v>
      </c>
      <c r="B99" s="1311">
        <v>32</v>
      </c>
      <c r="C99" s="332"/>
      <c r="D99" s="332"/>
      <c r="E99" s="332"/>
      <c r="F99" s="332"/>
    </row>
    <row r="100" spans="1:6">
      <c r="A100" s="1310" t="s">
        <v>73</v>
      </c>
      <c r="B100" s="1311">
        <v>215</v>
      </c>
      <c r="C100" s="332"/>
      <c r="D100" s="332"/>
      <c r="E100" s="332"/>
      <c r="F100" s="332"/>
    </row>
    <row r="101" spans="1:6">
      <c r="A101" s="1310" t="s">
        <v>74</v>
      </c>
      <c r="B101" s="1311">
        <v>70</v>
      </c>
      <c r="C101" s="332"/>
      <c r="D101" s="332"/>
      <c r="E101" s="332"/>
      <c r="F101" s="332"/>
    </row>
    <row r="102" spans="1:6">
      <c r="A102" s="1310" t="s">
        <v>75</v>
      </c>
      <c r="B102" s="1311">
        <v>101</v>
      </c>
      <c r="C102" s="332"/>
      <c r="D102" s="332"/>
      <c r="E102" s="332"/>
      <c r="F102" s="332"/>
    </row>
    <row r="103" spans="1:6">
      <c r="A103" s="1310" t="s">
        <v>76</v>
      </c>
      <c r="B103" s="1311">
        <v>138</v>
      </c>
      <c r="C103" s="332"/>
      <c r="D103" s="332"/>
      <c r="E103" s="332"/>
      <c r="F103" s="332"/>
    </row>
    <row r="104" spans="1:6">
      <c r="A104" s="1310" t="s">
        <v>77</v>
      </c>
      <c r="B104" s="1311">
        <v>6792</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40</v>
      </c>
      <c r="C123" s="1311">
        <v>51</v>
      </c>
      <c r="D123" s="332"/>
      <c r="E123" s="332"/>
      <c r="F123" s="332"/>
    </row>
    <row r="124" spans="1:6" s="43" customFormat="1">
      <c r="A124" s="1312" t="s">
        <v>88</v>
      </c>
      <c r="B124" s="1333">
        <v>1</v>
      </c>
      <c r="C124" s="1333">
        <v>5</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419</v>
      </c>
      <c r="C129" s="332"/>
      <c r="D129" s="332"/>
      <c r="E129" s="332"/>
      <c r="F129" s="332"/>
    </row>
    <row r="130" spans="1:6">
      <c r="A130" s="1310" t="s">
        <v>294</v>
      </c>
      <c r="B130" s="1311">
        <v>2</v>
      </c>
      <c r="C130" s="332"/>
      <c r="D130" s="332"/>
      <c r="E130" s="332"/>
      <c r="F130" s="332"/>
    </row>
    <row r="131" spans="1:6">
      <c r="A131" s="1310" t="s">
        <v>295</v>
      </c>
      <c r="B131" s="1311">
        <v>5</v>
      </c>
      <c r="C131" s="332"/>
      <c r="D131" s="332"/>
      <c r="E131" s="332"/>
      <c r="F131" s="332"/>
    </row>
    <row r="132" spans="1:6">
      <c r="A132" s="1305" t="s">
        <v>296</v>
      </c>
      <c r="B132" s="1306">
        <v>49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144195.48044931446</v>
      </c>
      <c r="C3" s="43" t="s">
        <v>169</v>
      </c>
      <c r="D3" s="43"/>
      <c r="E3" s="154"/>
      <c r="F3" s="43"/>
      <c r="G3" s="43"/>
      <c r="H3" s="43"/>
      <c r="I3" s="43"/>
      <c r="J3" s="43"/>
      <c r="K3" s="96"/>
    </row>
    <row r="4" spans="1:11">
      <c r="A4" s="360" t="s">
        <v>170</v>
      </c>
      <c r="B4" s="49">
        <f>IF(ISERROR('SEAP template'!B78+'SEAP template'!C78),0,'SEAP template'!B78+'SEAP template'!C78)</f>
        <v>46708.737064698194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151.62831294398765</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0.15046379077443084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216.61222759655297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20197.889961389963</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1.0724497856490269E-2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1770.3344320000001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1770.3344320000001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0.15046379077443084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266.37122957721886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36187.8069389999</v>
      </c>
      <c r="C5" s="17">
        <f>IF(ISERROR('Eigen informatie GS &amp; warmtenet'!B59),0,'Eigen informatie GS &amp; warmtenet'!B59)</f>
        <v>0</v>
      </c>
      <c r="D5" s="30">
        <f>(SUM(HH_hh_gas_kWh,HH_rest_gas_kWh)/1000)*0.903</f>
        <v>88352.670714189459</v>
      </c>
      <c r="E5" s="17">
        <f>B46*B57</f>
        <v>7434.4922763006925</v>
      </c>
      <c r="F5" s="17">
        <f>B51*B62</f>
        <v>62095.901114518769</v>
      </c>
      <c r="G5" s="18"/>
      <c r="H5" s="17"/>
      <c r="I5" s="17"/>
      <c r="J5" s="17">
        <f>B50*B61+C50*C61</f>
        <v>0</v>
      </c>
      <c r="K5" s="17"/>
      <c r="L5" s="17"/>
      <c r="M5" s="17"/>
      <c r="N5" s="17">
        <f>B48*B59+C48*C59</f>
        <v>30482.474433197167</v>
      </c>
      <c r="O5" s="17">
        <f>B69*B70*B71</f>
        <v>942.38015420884005</v>
      </c>
      <c r="P5" s="17">
        <f>B77*B78*B79/1000-B77*B78*B79/1000/B80</f>
        <v>948.05633769165206</v>
      </c>
    </row>
    <row r="6" spans="1:16">
      <c r="A6" s="16" t="s">
        <v>612</v>
      </c>
      <c r="B6" s="786">
        <f>kWh_PV_kleiner_dan_10kW</f>
        <v>10682.617316386732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46870.424255386635</v>
      </c>
      <c r="C8" s="21">
        <f>C5</f>
        <v>0</v>
      </c>
      <c r="D8" s="21">
        <f>D5</f>
        <v>88352.670714189459</v>
      </c>
      <c r="E8" s="21">
        <f>E5</f>
        <v>7434.4922763006925</v>
      </c>
      <c r="F8" s="21">
        <f>F5</f>
        <v>62095.901114518769</v>
      </c>
      <c r="G8" s="21"/>
      <c r="H8" s="21"/>
      <c r="I8" s="21"/>
      <c r="J8" s="21">
        <f>J5</f>
        <v>0</v>
      </c>
      <c r="K8" s="21"/>
      <c r="L8" s="21">
        <f>L5</f>
        <v>0</v>
      </c>
      <c r="M8" s="21">
        <f>M5</f>
        <v>0</v>
      </c>
      <c r="N8" s="21">
        <f>N5</f>
        <v>30482.474433197167</v>
      </c>
      <c r="O8" s="21">
        <f>O5</f>
        <v>942.38015420884005</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0.15046379077443084</v>
      </c>
      <c r="C10" s="25">
        <f ca="1">'EF ele_warmte'!B22</f>
        <v>1.0724497856490269E-2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7052.3017086713035</v>
      </c>
      <c r="C12" s="23">
        <f ca="1">C10*C8</f>
        <v>0</v>
      </c>
      <c r="D12" s="23">
        <f>D8*D10</f>
        <v>17847.239484266272</v>
      </c>
      <c r="E12" s="23">
        <f>E10*E8</f>
        <v>1687.6297467202573</v>
      </c>
      <c r="F12" s="23">
        <f>F10*F8</f>
        <v>16579.605597576512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2539</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10.094637223974763</v>
      </c>
      <c r="D20" s="229"/>
      <c r="E20" s="15"/>
    </row>
    <row r="21" spans="1:7">
      <c r="A21" s="171" t="s">
        <v>73</v>
      </c>
      <c r="B21" s="37">
        <f>aantalw2001_elektriciteit</f>
        <v>215</v>
      </c>
      <c r="C21" s="167">
        <f>IF(ISERROR(B21/SUM($B$20,$B$21,$B$22)*100),0,B21/SUM($B$20,$B$21,$B$22)*100)</f>
        <v>67.823343848580436</v>
      </c>
      <c r="D21" s="229"/>
      <c r="E21" s="15"/>
    </row>
    <row r="22" spans="1:7">
      <c r="A22" s="171" t="s">
        <v>74</v>
      </c>
      <c r="B22" s="37">
        <f>aantalw2001_hout</f>
        <v>70</v>
      </c>
      <c r="C22" s="167">
        <f>IF(ISERROR(B22/SUM($B$20,$B$21,$B$22)*100),0,B22/SUM($B$20,$B$21,$B$22)*100)</f>
        <v>22.082018927444793</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6792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11891</v>
      </c>
      <c r="C28" s="36"/>
      <c r="D28" s="228"/>
    </row>
    <row r="29" spans="1:7" s="15" customFormat="1">
      <c r="A29" s="230" t="s">
        <v>839</v>
      </c>
      <c r="B29" s="37">
        <f>SUM(HH_hh_gas_aantal,HH_rest_gas_aantal)</f>
        <v>6759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6759</v>
      </c>
      <c r="C32" s="167">
        <f>IF(ISERROR(B32/SUM($B$32,$B$34,$B$35,$B$36,$B$38,$B$39)*100),0,B32/SUM($B$32,$B$34,$B$35,$B$36,$B$38,$B$39)*100)</f>
        <v>57.274807219727144</v>
      </c>
      <c r="D32" s="233"/>
      <c r="G32" s="15"/>
    </row>
    <row r="33" spans="1:7">
      <c r="A33" s="171" t="s">
        <v>71</v>
      </c>
      <c r="B33" s="34" t="s">
        <v>110</v>
      </c>
      <c r="C33" s="167"/>
      <c r="D33" s="233"/>
      <c r="G33" s="15"/>
    </row>
    <row r="34" spans="1:7">
      <c r="A34" s="171" t="s">
        <v>72</v>
      </c>
      <c r="B34" s="33">
        <f>IF((($B$28-$B$32-$B$39-$B$77-$B$38)*C20/100)&lt;0,0,($B$28-$B$32-$B$39-$B$77-$B$38)*C20/100)</f>
        <v>206.73817034700315</v>
      </c>
      <c r="C34" s="167">
        <f>IF(ISERROR(B34/SUM($B$32,$B$34,$B$35,$B$36,$B$38,$B$39)*100),0,B34/SUM($B$32,$B$34,$B$35,$B$36,$B$38,$B$39)*100)</f>
        <v>1.7518699292178894</v>
      </c>
      <c r="D34" s="233"/>
      <c r="G34" s="15"/>
    </row>
    <row r="35" spans="1:7">
      <c r="A35" s="171" t="s">
        <v>73</v>
      </c>
      <c r="B35" s="33">
        <f>IF((($B$28-$B$32-$B$39-$B$77-$B$38)*C21/100)&lt;0,0,($B$28-$B$32-$B$39-$B$77-$B$38)*C21/100)</f>
        <v>1389.0220820189272</v>
      </c>
      <c r="C35" s="167">
        <f>IF(ISERROR(B35/SUM($B$32,$B$34,$B$35,$B$36,$B$38,$B$39)*100),0,B35/SUM($B$32,$B$34,$B$35,$B$36,$B$38,$B$39)*100)</f>
        <v>11.770376086932693</v>
      </c>
      <c r="D35" s="233"/>
      <c r="G35" s="15"/>
    </row>
    <row r="36" spans="1:7">
      <c r="A36" s="171" t="s">
        <v>74</v>
      </c>
      <c r="B36" s="33">
        <f>IF((($B$28-$B$32-$B$39-$B$77-$B$38)*C22/100)&lt;0,0,($B$28-$B$32-$B$39-$B$77-$B$38)*C22/100)</f>
        <v>452.23974763406937</v>
      </c>
      <c r="C36" s="167">
        <f>IF(ISERROR(B36/SUM($B$32,$B$34,$B$35,$B$36,$B$38,$B$39)*100),0,B36/SUM($B$32,$B$34,$B$35,$B$36,$B$38,$B$39)*100)</f>
        <v>3.8322154701641331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2994</v>
      </c>
      <c r="C39" s="167">
        <f>IF(ISERROR(B39/SUM($B$32,$B$34,$B$35,$B$36,$B$38,$B$39)*100),0,B39/SUM($B$32,$B$34,$B$35,$B$36,$B$38,$B$39)*100)</f>
        <v>25.370731293958137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6759</v>
      </c>
      <c r="C44" s="34" t="s">
        <v>110</v>
      </c>
      <c r="D44" s="174"/>
    </row>
    <row r="45" spans="1:7">
      <c r="A45" s="171" t="s">
        <v>71</v>
      </c>
      <c r="B45" s="33" t="str">
        <f t="shared" si="0"/>
        <v>-</v>
      </c>
      <c r="C45" s="34" t="s">
        <v>110</v>
      </c>
      <c r="D45" s="174"/>
    </row>
    <row r="46" spans="1:7">
      <c r="A46" s="171" t="s">
        <v>72</v>
      </c>
      <c r="B46" s="33">
        <f t="shared" si="0"/>
        <v>206.73817034700315</v>
      </c>
      <c r="C46" s="34" t="s">
        <v>110</v>
      </c>
      <c r="D46" s="174"/>
    </row>
    <row r="47" spans="1:7">
      <c r="A47" s="171" t="s">
        <v>73</v>
      </c>
      <c r="B47" s="33">
        <f t="shared" si="0"/>
        <v>1389.0220820189272</v>
      </c>
      <c r="C47" s="34" t="s">
        <v>110</v>
      </c>
      <c r="D47" s="174"/>
    </row>
    <row r="48" spans="1:7">
      <c r="A48" s="171" t="s">
        <v>74</v>
      </c>
      <c r="B48" s="33">
        <f t="shared" si="0"/>
        <v>452.23974763406937</v>
      </c>
      <c r="C48" s="33">
        <f>B48*10</f>
        <v>4522.3974763406941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2994</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475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50065.668067000006</v>
      </c>
      <c r="C5" s="17">
        <f>IF(ISERROR('Eigen informatie GS &amp; warmtenet'!B60),0,'Eigen informatie GS &amp; warmtenet'!B60)</f>
        <v>0</v>
      </c>
      <c r="D5" s="30">
        <f>SUM(D6:D12)</f>
        <v>51940.856569581003</v>
      </c>
      <c r="E5" s="17">
        <f>SUM(E6:E12)</f>
        <v>376.80878347912744</v>
      </c>
      <c r="F5" s="17">
        <f>SUM(F6:F12)</f>
        <v>16522.081297299355</v>
      </c>
      <c r="G5" s="18"/>
      <c r="H5" s="17"/>
      <c r="I5" s="17"/>
      <c r="J5" s="17">
        <f>SUM(J6:J12)</f>
        <v>0.23272588894036103</v>
      </c>
      <c r="K5" s="17"/>
      <c r="L5" s="17"/>
      <c r="M5" s="17"/>
      <c r="N5" s="17">
        <f>SUM(N6:N12)</f>
        <v>8440.8541044062094</v>
      </c>
      <c r="O5" s="17">
        <f>B38*B39*B40</f>
        <v>9.7945215316823084</v>
      </c>
      <c r="P5" s="17">
        <f>B46*B47*B48/1000-B46*B47*B48/1000/B49</f>
        <v>262.69569153247511</v>
      </c>
      <c r="R5" s="32"/>
    </row>
    <row r="6" spans="1:18">
      <c r="A6" s="32" t="s">
        <v>53</v>
      </c>
      <c r="B6" s="37">
        <f>B26</f>
        <v>6435.9716500000004</v>
      </c>
      <c r="C6" s="33"/>
      <c r="D6" s="37">
        <f>IF(ISERROR(TER_kantoor_gas_kWh/1000),0,TER_kantoor_gas_kWh/1000)*0.903</f>
        <v>11747.753712702</v>
      </c>
      <c r="E6" s="33">
        <f>$C$26*'E Balans VL '!I12/100/3.6*1000000</f>
        <v>1.5419058267457504</v>
      </c>
      <c r="F6" s="33">
        <f>$C$26*('E Balans VL '!L12+'E Balans VL '!N12)/100/3.6*1000000</f>
        <v>610.31563231885752</v>
      </c>
      <c r="G6" s="34"/>
      <c r="H6" s="33"/>
      <c r="I6" s="33"/>
      <c r="J6" s="33">
        <f>$C$26*('E Balans VL '!D12+'E Balans VL '!E12)/100/3.6*1000000</f>
        <v>0</v>
      </c>
      <c r="K6" s="33"/>
      <c r="L6" s="33"/>
      <c r="M6" s="33"/>
      <c r="N6" s="33">
        <f>$C$26*'E Balans VL '!Y12/100/3.6*1000000</f>
        <v>3.269140705960035</v>
      </c>
      <c r="O6" s="33"/>
      <c r="P6" s="33"/>
      <c r="R6" s="32"/>
    </row>
    <row r="7" spans="1:18">
      <c r="A7" s="32" t="s">
        <v>52</v>
      </c>
      <c r="B7" s="37">
        <f t="shared" ref="B7:B12" si="0">B27</f>
        <v>5857.3668399999997</v>
      </c>
      <c r="C7" s="33"/>
      <c r="D7" s="37">
        <f>IF(ISERROR(TER_horeca_gas_kWh/1000),0,TER_horeca_gas_kWh/1000)*0.903</f>
        <v>10442.842876053002</v>
      </c>
      <c r="E7" s="33">
        <f>$C$27*'E Balans VL '!I9/100/3.6*1000000</f>
        <v>0</v>
      </c>
      <c r="F7" s="33">
        <f>$C$27*('E Balans VL '!L9+'E Balans VL '!N9)/100/3.6*1000000</f>
        <v>480.29031203045264</v>
      </c>
      <c r="G7" s="34"/>
      <c r="H7" s="33"/>
      <c r="I7" s="33"/>
      <c r="J7" s="33">
        <f>$C$27*('E Balans VL '!D9+'E Balans VL '!E9)/100/3.6*1000000</f>
        <v>0</v>
      </c>
      <c r="K7" s="33"/>
      <c r="L7" s="33"/>
      <c r="M7" s="33"/>
      <c r="N7" s="33">
        <f>$C$27*'E Balans VL '!Y9/100/3.6*1000000</f>
        <v>1.7955182682018889</v>
      </c>
      <c r="O7" s="33"/>
      <c r="P7" s="33"/>
      <c r="R7" s="32"/>
    </row>
    <row r="8" spans="1:18">
      <c r="A8" s="6" t="s">
        <v>51</v>
      </c>
      <c r="B8" s="37">
        <f t="shared" si="0"/>
        <v>10744.455809000001</v>
      </c>
      <c r="C8" s="33"/>
      <c r="D8" s="37">
        <f>IF(ISERROR(TER_handel_gas_kWh/1000),0,TER_handel_gas_kWh/1000)*0.903</f>
        <v>8864.612834679001</v>
      </c>
      <c r="E8" s="33">
        <f>$C$28*'E Balans VL '!I13/100/3.6*1000000</f>
        <v>37.760889752979601</v>
      </c>
      <c r="F8" s="33">
        <f>$C$28*('E Balans VL '!L13+'E Balans VL '!N13)/100/3.6*1000000</f>
        <v>983.09841128162225</v>
      </c>
      <c r="G8" s="34"/>
      <c r="H8" s="33"/>
      <c r="I8" s="33"/>
      <c r="J8" s="33">
        <f>$C$28*('E Balans VL '!D13+'E Balans VL '!E13)/100/3.6*1000000</f>
        <v>0</v>
      </c>
      <c r="K8" s="33"/>
      <c r="L8" s="33"/>
      <c r="M8" s="33"/>
      <c r="N8" s="33">
        <f>$C$28*'E Balans VL '!Y13/100/3.6*1000000</f>
        <v>3.8911793278858542</v>
      </c>
      <c r="O8" s="33"/>
      <c r="P8" s="33"/>
      <c r="R8" s="32"/>
    </row>
    <row r="9" spans="1:18">
      <c r="A9" s="32" t="s">
        <v>50</v>
      </c>
      <c r="B9" s="37">
        <f t="shared" si="0"/>
        <v>2535.2202480000001</v>
      </c>
      <c r="C9" s="33"/>
      <c r="D9" s="37">
        <f>IF(ISERROR(TER_gezond_gas_kWh/1000),0,TER_gezond_gas_kWh/1000)*0.903</f>
        <v>2147.6670950279999</v>
      </c>
      <c r="E9" s="33">
        <f>$C$29*'E Balans VL '!I10/100/3.6*1000000</f>
        <v>0</v>
      </c>
      <c r="F9" s="33">
        <f>$C$29*('E Balans VL '!L10+'E Balans VL '!N10)/100/3.6*1000000</f>
        <v>310.77144828650819</v>
      </c>
      <c r="G9" s="34"/>
      <c r="H9" s="33"/>
      <c r="I9" s="33"/>
      <c r="J9" s="33">
        <f>$C$29*('E Balans VL '!D10+'E Balans VL '!E10)/100/3.6*1000000</f>
        <v>0</v>
      </c>
      <c r="K9" s="33"/>
      <c r="L9" s="33"/>
      <c r="M9" s="33"/>
      <c r="N9" s="33">
        <f>$C$29*'E Balans VL '!Y10/100/3.6*1000000</f>
        <v>18.695482648511565</v>
      </c>
      <c r="O9" s="33"/>
      <c r="P9" s="33"/>
      <c r="R9" s="32"/>
    </row>
    <row r="10" spans="1:18">
      <c r="A10" s="32" t="s">
        <v>49</v>
      </c>
      <c r="B10" s="37">
        <f t="shared" si="0"/>
        <v>23565.221563000003</v>
      </c>
      <c r="C10" s="33"/>
      <c r="D10" s="37">
        <f>IF(ISERROR(TER_ander_gas_kWh/1000),0,TER_ander_gas_kWh/1000)*0.903</f>
        <v>15457.620915911999</v>
      </c>
      <c r="E10" s="33">
        <f>$C$30*'E Balans VL '!I14/100/3.6*1000000</f>
        <v>337.5059878994021</v>
      </c>
      <c r="F10" s="33">
        <f>$C$30*('E Balans VL '!L14+'E Balans VL '!N14)/100/3.6*1000000</f>
        <v>14029.17765336604</v>
      </c>
      <c r="G10" s="34"/>
      <c r="H10" s="33"/>
      <c r="I10" s="33"/>
      <c r="J10" s="33">
        <f>$C$30*('E Balans VL '!D14+'E Balans VL '!E14)/100/3.6*1000000</f>
        <v>0.23272588894036103</v>
      </c>
      <c r="K10" s="33"/>
      <c r="L10" s="33"/>
      <c r="M10" s="33"/>
      <c r="N10" s="33">
        <f>$C$30*'E Balans VL '!Y14/100/3.6*1000000</f>
        <v>8410.5912415628791</v>
      </c>
      <c r="O10" s="33"/>
      <c r="P10" s="33"/>
      <c r="R10" s="32"/>
    </row>
    <row r="11" spans="1:18">
      <c r="A11" s="32" t="s">
        <v>54</v>
      </c>
      <c r="B11" s="37">
        <f t="shared" si="0"/>
        <v>927.43195700000001</v>
      </c>
      <c r="C11" s="33"/>
      <c r="D11" s="37">
        <f>IF(ISERROR(TER_onderwijs_gas_kWh/1000),0,TER_onderwijs_gas_kWh/1000)*0.903</f>
        <v>3280.3591352069998</v>
      </c>
      <c r="E11" s="33">
        <f>$C$31*'E Balans VL '!I11/100/3.6*1000000</f>
        <v>0</v>
      </c>
      <c r="F11" s="33">
        <f>$C$31*('E Balans VL '!L11+'E Balans VL '!N11)/100/3.6*1000000</f>
        <v>108.42784001587707</v>
      </c>
      <c r="G11" s="34"/>
      <c r="H11" s="33"/>
      <c r="I11" s="33"/>
      <c r="J11" s="33">
        <f>$C$31*('E Balans VL '!D11+'E Balans VL '!E11)/100/3.6*1000000</f>
        <v>0</v>
      </c>
      <c r="K11" s="33"/>
      <c r="L11" s="33"/>
      <c r="M11" s="33"/>
      <c r="N11" s="33">
        <f>$C$31*'E Balans VL '!Y11/100/3.6*1000000</f>
        <v>2.6115418927714242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14341</v>
      </c>
      <c r="C13" s="247">
        <f ca="1">'lokale energieproductie'!O40+'lokale energieproductie'!O33</f>
        <v>12.175675675675675</v>
      </c>
      <c r="D13" s="310">
        <f ca="1">('lokale energieproductie'!P33+'lokale energieproductie'!P40)*(-1)</f>
        <v>-22.972972972972972</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-40950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64406.668067000006</v>
      </c>
      <c r="C16" s="21">
        <f t="shared" ca="1" si="1"/>
        <v>12.175675675675675</v>
      </c>
      <c r="D16" s="21">
        <f t="shared" ca="1" si="1"/>
        <v>51917.88359660803</v>
      </c>
      <c r="E16" s="21">
        <f t="shared" si="1"/>
        <v>376.80878347912744</v>
      </c>
      <c r="F16" s="21">
        <f t="shared" ca="1" si="1"/>
        <v>16522.081297299355</v>
      </c>
      <c r="G16" s="21">
        <f t="shared" si="1"/>
        <v>0</v>
      </c>
      <c r="H16" s="21">
        <f t="shared" si="1"/>
        <v>0</v>
      </c>
      <c r="I16" s="21">
        <f t="shared" si="1"/>
        <v>0</v>
      </c>
      <c r="J16" s="21">
        <f t="shared" si="1"/>
        <v>0.23272588894036103</v>
      </c>
      <c r="K16" s="21">
        <f t="shared" si="1"/>
        <v>0</v>
      </c>
      <c r="L16" s="21">
        <f t="shared" ca="1" si="1"/>
        <v>0</v>
      </c>
      <c r="M16" s="21">
        <f t="shared" si="1"/>
        <v>0</v>
      </c>
      <c r="N16" s="21">
        <f t="shared" ca="1" si="1"/>
        <v>0</v>
      </c>
      <c r="O16" s="21">
        <f>O5</f>
        <v>9.7945215316823084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0.15046379077443084</v>
      </c>
      <c r="C18" s="25">
        <f ca="1">'EF ele_warmte'!B22</f>
        <v>1.0724497856490269E-2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9690.8714285113056</v>
      </c>
      <c r="C20" s="23">
        <f t="shared" ref="C20:P20" ca="1" si="2">C16*C18</f>
        <v>0.1305780076851045</v>
      </c>
      <c r="D20" s="23">
        <f t="shared" ca="1" si="2"/>
        <v>10487.412486514822</v>
      </c>
      <c r="E20" s="23">
        <f t="shared" si="2"/>
        <v>85.535593849761938</v>
      </c>
      <c r="F20" s="23">
        <f t="shared" ca="1" si="2"/>
        <v>4411.3957063789285</v>
      </c>
      <c r="G20" s="23">
        <f t="shared" si="2"/>
        <v>0</v>
      </c>
      <c r="H20" s="23">
        <f t="shared" si="2"/>
        <v>0</v>
      </c>
      <c r="I20" s="23">
        <f t="shared" si="2"/>
        <v>0</v>
      </c>
      <c r="J20" s="23">
        <f t="shared" si="2"/>
        <v>8.2384964684887804E-2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6435.9716500000004</v>
      </c>
      <c r="C26" s="39">
        <f>IF(ISERROR(B26*3.6/1000000/'E Balans VL '!Z12*100),0,B26*3.6/1000000/'E Balans VL '!Z12*100)</f>
        <v>0.18151144384583534</v>
      </c>
      <c r="D26" s="237" t="s">
        <v>702</v>
      </c>
      <c r="F26" s="6"/>
    </row>
    <row r="27" spans="1:18">
      <c r="A27" s="231" t="s">
        <v>52</v>
      </c>
      <c r="B27" s="33">
        <f>IF(ISERROR(TER_horeca_ele_kWh/1000),0,TER_horeca_ele_kWh/1000)</f>
        <v>5857.3668399999997</v>
      </c>
      <c r="C27" s="39">
        <f>IF(ISERROR(B27*3.6/1000000/'E Balans VL '!Z9*100),0,B27*3.6/1000000/'E Balans VL '!Z9*100)</f>
        <v>0.43425179532495112</v>
      </c>
      <c r="D27" s="237" t="s">
        <v>702</v>
      </c>
      <c r="F27" s="6"/>
    </row>
    <row r="28" spans="1:18">
      <c r="A28" s="171" t="s">
        <v>51</v>
      </c>
      <c r="B28" s="33">
        <f>IF(ISERROR(TER_handel_ele_kWh/1000),0,TER_handel_ele_kWh/1000)</f>
        <v>10744.455809000001</v>
      </c>
      <c r="C28" s="39">
        <f>IF(ISERROR(B28*3.6/1000000/'E Balans VL '!Z13*100),0,B28*3.6/1000000/'E Balans VL '!Z13*100)</f>
        <v>0.32187835014017768</v>
      </c>
      <c r="D28" s="237" t="s">
        <v>702</v>
      </c>
      <c r="F28" s="6"/>
    </row>
    <row r="29" spans="1:18">
      <c r="A29" s="231" t="s">
        <v>50</v>
      </c>
      <c r="B29" s="33">
        <f>IF(ISERROR(TER_gezond_ele_kWh/1000),0,TER_gezond_ele_kWh/1000)</f>
        <v>2535.2202480000001</v>
      </c>
      <c r="C29" s="39">
        <f>IF(ISERROR(B29*3.6/1000000/'E Balans VL '!Z10*100),0,B29*3.6/1000000/'E Balans VL '!Z10*100)</f>
        <v>0.25068357179702944</v>
      </c>
      <c r="D29" s="237" t="s">
        <v>702</v>
      </c>
      <c r="F29" s="6"/>
    </row>
    <row r="30" spans="1:18">
      <c r="A30" s="231" t="s">
        <v>49</v>
      </c>
      <c r="B30" s="33">
        <f>IF(ISERROR(TER_ander_ele_kWh/1000),0,TER_ander_ele_kWh/1000)</f>
        <v>23565.221563000003</v>
      </c>
      <c r="C30" s="39">
        <f>IF(ISERROR(B30*3.6/1000000/'E Balans VL '!Z14*100),0,B30*3.6/1000000/'E Balans VL '!Z14*100)</f>
        <v>0.95314357245199055</v>
      </c>
      <c r="D30" s="237" t="s">
        <v>702</v>
      </c>
      <c r="F30" s="6"/>
    </row>
    <row r="31" spans="1:18">
      <c r="A31" s="231" t="s">
        <v>54</v>
      </c>
      <c r="B31" s="33">
        <f>IF(ISERROR(TER_onderwijs_ele_kWh/1000),0,TER_onderwijs_ele_kWh/1000)</f>
        <v>927.43195700000001</v>
      </c>
      <c r="C31" s="39">
        <f>IF(ISERROR(B31*3.6/1000000/'E Balans VL '!Z11*100),0,B31*3.6/1000000/'E Balans VL '!Z11*100)</f>
        <v>0.25480611948698983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5</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24993.841212000003</v>
      </c>
      <c r="C5" s="17">
        <f>IF(ISERROR('Eigen informatie GS &amp; warmtenet'!B61),0,'Eigen informatie GS &amp; warmtenet'!B61)</f>
        <v>0</v>
      </c>
      <c r="D5" s="30">
        <f>SUM(D6:D15)</f>
        <v>27139.234220238002</v>
      </c>
      <c r="E5" s="17">
        <f>SUM(E6:E15)</f>
        <v>104.5298112157332</v>
      </c>
      <c r="F5" s="17">
        <f>SUM(F6:F15)</f>
        <v>5103.8517713751153</v>
      </c>
      <c r="G5" s="18"/>
      <c r="H5" s="17"/>
      <c r="I5" s="17"/>
      <c r="J5" s="17">
        <f>SUM(J6:J15)</f>
        <v>11.177705503307706</v>
      </c>
      <c r="K5" s="17"/>
      <c r="L5" s="17"/>
      <c r="M5" s="17"/>
      <c r="N5" s="17">
        <f>SUM(N6:N15)</f>
        <v>1179.0272567768875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12405.958826</v>
      </c>
      <c r="C8" s="33"/>
      <c r="D8" s="37">
        <f>IF( ISERROR(IND_metaal_Gas_kWH/1000),0,IND_metaal_Gas_kWH/1000)*0.903</f>
        <v>11206.950780018</v>
      </c>
      <c r="E8" s="33">
        <f>C30*'E Balans VL '!I18/100/3.6*1000000</f>
        <v>62.553008984023968</v>
      </c>
      <c r="F8" s="33">
        <f>C30*'E Balans VL '!L18/100/3.6*1000000+C30*'E Balans VL '!N18/100/3.6*1000000</f>
        <v>847.60045796162683</v>
      </c>
      <c r="G8" s="34"/>
      <c r="H8" s="33"/>
      <c r="I8" s="33"/>
      <c r="J8" s="40">
        <f>C30*'E Balans VL '!D18/100/3.6*1000000+C30*'E Balans VL '!E18/100/3.6*1000000</f>
        <v>10.998940741169637</v>
      </c>
      <c r="K8" s="33"/>
      <c r="L8" s="33"/>
      <c r="M8" s="33"/>
      <c r="N8" s="33">
        <f>C30*'E Balans VL '!Y18/100/3.6*1000000</f>
        <v>164.87526642104123</v>
      </c>
      <c r="O8" s="33"/>
      <c r="P8" s="33"/>
      <c r="R8" s="32"/>
    </row>
    <row r="9" spans="1:18">
      <c r="A9" s="6" t="s">
        <v>32</v>
      </c>
      <c r="B9" s="37">
        <f t="shared" si="0"/>
        <v>6663.923495</v>
      </c>
      <c r="C9" s="33"/>
      <c r="D9" s="37">
        <f>IF( ISERROR(IND_andere_gas_kWh/1000),0,IND_andere_gas_kWh/1000)*0.903</f>
        <v>9639.0615930420008</v>
      </c>
      <c r="E9" s="33">
        <f>C31*'E Balans VL '!I19/100/3.6*1000000</f>
        <v>21.006261829946549</v>
      </c>
      <c r="F9" s="33">
        <f>C31*'E Balans VL '!L19/100/3.6*1000000+C31*'E Balans VL '!N19/100/3.6*1000000</f>
        <v>4079.3736876038952</v>
      </c>
      <c r="G9" s="34"/>
      <c r="H9" s="33"/>
      <c r="I9" s="33"/>
      <c r="J9" s="40">
        <f>C31*'E Balans VL '!D19/100/3.6*1000000+C31*'E Balans VL '!E19/100/3.6*1000000</f>
        <v>0</v>
      </c>
      <c r="K9" s="33"/>
      <c r="L9" s="33"/>
      <c r="M9" s="33"/>
      <c r="N9" s="33">
        <f>C31*'E Balans VL '!Y19/100/3.6*1000000</f>
        <v>279.42736055970443</v>
      </c>
      <c r="O9" s="33"/>
      <c r="P9" s="33"/>
      <c r="R9" s="32"/>
    </row>
    <row r="10" spans="1:18">
      <c r="A10" s="6" t="s">
        <v>40</v>
      </c>
      <c r="B10" s="37">
        <f t="shared" si="0"/>
        <v>571.587582</v>
      </c>
      <c r="C10" s="33"/>
      <c r="D10" s="37">
        <f>IF( ISERROR(IND_voed_gas_kWh/1000),0,IND_voed_gas_kWh/1000)*0.903</f>
        <v>644.716534497</v>
      </c>
      <c r="E10" s="33">
        <f>C32*'E Balans VL '!I20/100/3.6*1000000</f>
        <v>0.91095007921911986</v>
      </c>
      <c r="F10" s="33">
        <f>C32*'E Balans VL '!L20/100/3.6*1000000+C32*'E Balans VL '!N20/100/3.6*1000000</f>
        <v>9.2869096638661812</v>
      </c>
      <c r="G10" s="34"/>
      <c r="H10" s="33"/>
      <c r="I10" s="33"/>
      <c r="J10" s="40">
        <f>C32*'E Balans VL '!D20/100/3.6*1000000+C32*'E Balans VL '!E20/100/3.6*1000000</f>
        <v>0</v>
      </c>
      <c r="K10" s="33"/>
      <c r="L10" s="33"/>
      <c r="M10" s="33"/>
      <c r="N10" s="33">
        <f>C32*'E Balans VL '!Y20/100/3.6*1000000</f>
        <v>18.053590560530147</v>
      </c>
      <c r="O10" s="33"/>
      <c r="P10" s="33"/>
      <c r="R10" s="32"/>
    </row>
    <row r="11" spans="1:18">
      <c r="A11" s="6" t="s">
        <v>39</v>
      </c>
      <c r="B11" s="37">
        <f t="shared" si="0"/>
        <v>158.03279000000001</v>
      </c>
      <c r="C11" s="33"/>
      <c r="D11" s="37">
        <f>IF( ISERROR(IND_textiel_gas_kWh/1000),0,IND_textiel_gas_kWh/1000)*0.903</f>
        <v>176.75666765400001</v>
      </c>
      <c r="E11" s="33">
        <f>C33*'E Balans VL '!I21/100/3.6*1000000</f>
        <v>0.22927670117269494</v>
      </c>
      <c r="F11" s="33">
        <f>C33*'E Balans VL '!L21/100/3.6*1000000+C33*'E Balans VL '!N21/100/3.6*1000000</f>
        <v>3.0928032390796836</v>
      </c>
      <c r="G11" s="34"/>
      <c r="H11" s="33"/>
      <c r="I11" s="33"/>
      <c r="J11" s="40">
        <f>C33*'E Balans VL '!D21/100/3.6*1000000+C33*'E Balans VL '!E21/100/3.6*1000000</f>
        <v>0</v>
      </c>
      <c r="K11" s="33"/>
      <c r="L11" s="33"/>
      <c r="M11" s="33"/>
      <c r="N11" s="33">
        <f>C33*'E Balans VL '!Y21/100/3.6*1000000</f>
        <v>7.6989988665794558</v>
      </c>
      <c r="O11" s="33"/>
      <c r="P11" s="33"/>
      <c r="R11" s="32"/>
    </row>
    <row r="12" spans="1:18">
      <c r="A12" s="6" t="s">
        <v>36</v>
      </c>
      <c r="B12" s="37">
        <f t="shared" si="0"/>
        <v>4148.9294540000001</v>
      </c>
      <c r="C12" s="33"/>
      <c r="D12" s="37">
        <f>IF( ISERROR(IND_min_gas_kWh/1000),0,IND_min_gas_kWh/1000)*0.903</f>
        <v>3965.7350326440005</v>
      </c>
      <c r="E12" s="33">
        <f>C34*'E Balans VL '!I22/100/3.6*1000000</f>
        <v>17.953541212196715</v>
      </c>
      <c r="F12" s="33">
        <f>C34*'E Balans VL '!L22/100/3.6*1000000+C34*'E Balans VL '!N22/100/3.6*1000000</f>
        <v>158.41124811399681</v>
      </c>
      <c r="G12" s="34"/>
      <c r="H12" s="33"/>
      <c r="I12" s="33"/>
      <c r="J12" s="40">
        <f>C34*'E Balans VL '!D22/100/3.6*1000000+C34*'E Balans VL '!E22/100/3.6*1000000</f>
        <v>0</v>
      </c>
      <c r="K12" s="33"/>
      <c r="L12" s="33"/>
      <c r="M12" s="33"/>
      <c r="N12" s="33">
        <f>C34*'E Balans VL '!Y22/100/3.6*1000000</f>
        <v>707.71390430003441</v>
      </c>
      <c r="O12" s="33"/>
      <c r="P12" s="33"/>
      <c r="R12" s="32"/>
    </row>
    <row r="13" spans="1:18">
      <c r="A13" s="6" t="s">
        <v>38</v>
      </c>
      <c r="B13" s="37">
        <f t="shared" si="0"/>
        <v>970.95106499999997</v>
      </c>
      <c r="C13" s="33"/>
      <c r="D13" s="37">
        <f>IF( ISERROR(IND_papier_gas_kWh/1000),0,IND_papier_gas_kWh/1000)*0.903</f>
        <v>242.66562719700002</v>
      </c>
      <c r="E13" s="33">
        <f>C35*'E Balans VL '!I23/100/3.6*1000000</f>
        <v>0</v>
      </c>
      <c r="F13" s="33">
        <f>C35*'E Balans VL '!L23/100/3.6*1000000+C35*'E Balans VL '!N23/100/3.6*1000000</f>
        <v>4.2066114941602457E-2</v>
      </c>
      <c r="G13" s="34"/>
      <c r="H13" s="33"/>
      <c r="I13" s="33"/>
      <c r="J13" s="40">
        <f>C35*'E Balans VL '!D23/100/3.6*1000000+C35*'E Balans VL '!E23/100/3.6*1000000</f>
        <v>2.675433256081286E-2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74.457999999999998</v>
      </c>
      <c r="C15" s="33"/>
      <c r="D15" s="37">
        <f>IF( ISERROR(IND_rest_gas_kWh/1000),0,IND_rest_gas_kWh/1000)*0.903</f>
        <v>1263.347985186</v>
      </c>
      <c r="E15" s="33">
        <f>C37*'E Balans VL '!I15/100/3.6*1000000</f>
        <v>1.8767724091741671</v>
      </c>
      <c r="F15" s="33">
        <f>C37*'E Balans VL '!L15/100/3.6*1000000+C37*'E Balans VL '!N15/100/3.6*1000000</f>
        <v>6.0445986777094536</v>
      </c>
      <c r="G15" s="34"/>
      <c r="H15" s="33"/>
      <c r="I15" s="33"/>
      <c r="J15" s="40">
        <f>C37*'E Balans VL '!D15/100/3.6*1000000+C37*'E Balans VL '!E15/100/3.6*1000000</f>
        <v>0.15201042957725558</v>
      </c>
      <c r="K15" s="33"/>
      <c r="L15" s="33"/>
      <c r="M15" s="33"/>
      <c r="N15" s="33">
        <f>C37*'E Balans VL '!Y15/100/3.6*1000000</f>
        <v>1.2581360689977676</v>
      </c>
      <c r="O15" s="33"/>
      <c r="P15" s="33"/>
      <c r="R15" s="32"/>
    </row>
    <row r="16" spans="1:18">
      <c r="A16" s="16" t="s">
        <v>479</v>
      </c>
      <c r="B16" s="247">
        <f>'lokale energieproductie'!N39+'lokale energieproductie'!N32</f>
        <v>630.00000000000011</v>
      </c>
      <c r="C16" s="247">
        <f>'lokale energieproductie'!O39+'lokale energieproductie'!O32</f>
        <v>900.00000000000023</v>
      </c>
      <c r="D16" s="310">
        <f>('lokale energieproductie'!P32+'lokale energieproductie'!P39)*(-1)</f>
        <v>-1800.0000000000005</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25623.841212000003</v>
      </c>
      <c r="C18" s="21">
        <f>C5+C16</f>
        <v>900.00000000000023</v>
      </c>
      <c r="D18" s="21">
        <f>MAX((D5+D16),0)</f>
        <v>25339.234220238002</v>
      </c>
      <c r="E18" s="21">
        <f>MAX((E5+E16),0)</f>
        <v>104.5298112157332</v>
      </c>
      <c r="F18" s="21">
        <f>MAX((F5+F16),0)</f>
        <v>5103.8517713751153</v>
      </c>
      <c r="G18" s="21"/>
      <c r="H18" s="21"/>
      <c r="I18" s="21"/>
      <c r="J18" s="21">
        <f>MAX((J5+J16),0)</f>
        <v>11.177705503307706</v>
      </c>
      <c r="K18" s="21"/>
      <c r="L18" s="21">
        <f>MAX((L5+L16),0)</f>
        <v>0</v>
      </c>
      <c r="M18" s="21"/>
      <c r="N18" s="21">
        <f>MAX((N5+N16),0)</f>
        <v>1179.0272567768875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0.15046379077443084</v>
      </c>
      <c r="C20" s="25">
        <f ca="1">'EF ele_warmte'!B22</f>
        <v>1.0724497856490269E-2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3855.460282959607</v>
      </c>
      <c r="C22" s="23">
        <f ca="1">C18*C20</f>
        <v>9.6520480708412446</v>
      </c>
      <c r="D22" s="23">
        <f>D18*D20</f>
        <v>5118.5253124880765</v>
      </c>
      <c r="E22" s="23">
        <f>E18*E20</f>
        <v>23.728267145971436</v>
      </c>
      <c r="F22" s="23">
        <f>F18*F20</f>
        <v>1362.7284229571558</v>
      </c>
      <c r="G22" s="23"/>
      <c r="H22" s="23"/>
      <c r="I22" s="23"/>
      <c r="J22" s="23">
        <f>J18*J20</f>
        <v>3.9569077481709276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12405.958826</v>
      </c>
      <c r="C30" s="39">
        <f>IF(ISERROR(B30*3.6/1000000/'E Balans VL '!Z18*100),0,B30*3.6/1000000/'E Balans VL '!Z18*100)</f>
        <v>0.6158038362085626</v>
      </c>
      <c r="D30" s="237" t="s">
        <v>702</v>
      </c>
    </row>
    <row r="31" spans="1:18">
      <c r="A31" s="6" t="s">
        <v>32</v>
      </c>
      <c r="B31" s="37">
        <f>IF( ISERROR(IND_ander_ele_kWh/1000),0,IND_ander_ele_kWh/1000)</f>
        <v>6663.923495</v>
      </c>
      <c r="C31" s="39">
        <f>IF(ISERROR(B31*3.6/1000000/'E Balans VL '!Z19*100),0,B31*3.6/1000000/'E Balans VL '!Z19*100)</f>
        <v>0.22487326989934991</v>
      </c>
      <c r="D31" s="237" t="s">
        <v>702</v>
      </c>
    </row>
    <row r="32" spans="1:18">
      <c r="A32" s="171" t="s">
        <v>40</v>
      </c>
      <c r="B32" s="37">
        <f>IF( ISERROR(IND_voed_ele_kWh/1000),0,IND_voed_ele_kWh/1000)</f>
        <v>571.587582</v>
      </c>
      <c r="C32" s="39">
        <f>IF(ISERROR(B32*3.6/1000000/'E Balans VL '!Z20*100),0,B32*3.6/1000000/'E Balans VL '!Z20*100)</f>
        <v>1.3423341728491751E-2</v>
      </c>
      <c r="D32" s="237" t="s">
        <v>702</v>
      </c>
    </row>
    <row r="33" spans="1:5">
      <c r="A33" s="171" t="s">
        <v>39</v>
      </c>
      <c r="B33" s="37">
        <f>IF( ISERROR(IND_textiel_ele_kWh/1000),0,IND_textiel_ele_kWh/1000)</f>
        <v>158.03279000000001</v>
      </c>
      <c r="C33" s="39">
        <f>IF(ISERROR(B33*3.6/1000000/'E Balans VL '!Z21*100),0,B33*3.6/1000000/'E Balans VL '!Z21*100)</f>
        <v>1.7343898386671608E-2</v>
      </c>
      <c r="D33" s="237" t="s">
        <v>702</v>
      </c>
    </row>
    <row r="34" spans="1:5">
      <c r="A34" s="171" t="s">
        <v>36</v>
      </c>
      <c r="B34" s="37">
        <f>IF( ISERROR(IND_min_ele_kWh/1000),0,IND_min_ele_kWh/1000)</f>
        <v>4148.9294540000001</v>
      </c>
      <c r="C34" s="39">
        <f>IF(ISERROR(B34*3.6/1000000/'E Balans VL '!Z22*100),0,B34*3.6/1000000/'E Balans VL '!Z22*100)</f>
        <v>0.58861176880513399</v>
      </c>
      <c r="D34" s="237" t="s">
        <v>702</v>
      </c>
    </row>
    <row r="35" spans="1:5">
      <c r="A35" s="171" t="s">
        <v>38</v>
      </c>
      <c r="B35" s="37">
        <f>IF( ISERROR(IND_papier_ele_kWh/1000),0,IND_papier_ele_kWh/1000)</f>
        <v>970.95106499999997</v>
      </c>
      <c r="C35" s="39">
        <f>IF(ISERROR(B35*3.6/1000000/'E Balans VL '!Z22*100),0,B35*3.6/1000000/'E Balans VL '!Z22*100)</f>
        <v>0.13774956410547795</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74.457999999999998</v>
      </c>
      <c r="C37" s="39">
        <f>IF(ISERROR(B37*3.6/1000000/'E Balans VL '!Z15*100),0,B37*3.6/1000000/'E Balans VL '!Z15*100)</f>
        <v>2.7903352937383712E-4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340.22433100000001</v>
      </c>
      <c r="C5" s="17">
        <f>'Eigen informatie GS &amp; warmtenet'!B62</f>
        <v>0</v>
      </c>
      <c r="D5" s="30">
        <f>IF(ISERROR(SUM(LB_lb_gas_kWh,LB_rest_gas_kWh)/1000),0,SUM(LB_lb_gas_kWh,LB_rest_gas_kWh)/1000)*0.903</f>
        <v>37.213811123999996</v>
      </c>
      <c r="E5" s="17">
        <f>B17*'E Balans VL '!I25/3.6*1000000/100</f>
        <v>12.688005974981383</v>
      </c>
      <c r="F5" s="17">
        <f>B17*('E Balans VL '!L25/3.6*1000000+'E Balans VL '!N25/3.6*1000000)/100</f>
        <v>1103.819197620476</v>
      </c>
      <c r="G5" s="18"/>
      <c r="H5" s="17"/>
      <c r="I5" s="17"/>
      <c r="J5" s="17">
        <f>('E Balans VL '!D25+'E Balans VL '!E25)/3.6*1000000*landbouw!B17/100</f>
        <v>89.310566543426745</v>
      </c>
      <c r="K5" s="17"/>
      <c r="L5" s="17">
        <f>L6*(-1)</f>
        <v>0</v>
      </c>
      <c r="M5" s="17"/>
      <c r="N5" s="17">
        <f>N6*(-1)</f>
        <v>38571.428571428572</v>
      </c>
      <c r="O5" s="17"/>
      <c r="P5" s="17"/>
      <c r="R5" s="32"/>
    </row>
    <row r="6" spans="1:18">
      <c r="A6" s="16" t="s">
        <v>479</v>
      </c>
      <c r="B6" s="17" t="s">
        <v>210</v>
      </c>
      <c r="C6" s="17">
        <f>'lokale energieproductie'!O41+'lokale energieproductie'!O34</f>
        <v>19285.714285714286</v>
      </c>
      <c r="D6" s="310">
        <f>('lokale energieproductie'!P34+'lokale energieproductie'!P41)*(-1)</f>
        <v>0</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340.22433100000001</v>
      </c>
      <c r="C8" s="21">
        <f>C5+C6</f>
        <v>19285.714285714286</v>
      </c>
      <c r="D8" s="21">
        <f>MAX((D5+D6),0)</f>
        <v>37.213811123999996</v>
      </c>
      <c r="E8" s="21">
        <f>MAX((E5+E6),0)</f>
        <v>12.688005974981383</v>
      </c>
      <c r="F8" s="21">
        <f>MAX((F5+F6),0)</f>
        <v>1103.819197620476</v>
      </c>
      <c r="G8" s="21"/>
      <c r="H8" s="21"/>
      <c r="I8" s="21"/>
      <c r="J8" s="21">
        <f>MAX((J5+J6),0)</f>
        <v>89.310566543426745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0.15046379077443084</v>
      </c>
      <c r="C10" s="31">
        <f ca="1">'EF ele_warmte'!B22</f>
        <v>1.0724497856490269E-2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51.191442555954708</v>
      </c>
      <c r="C12" s="23">
        <f ca="1">C8*C10</f>
        <v>206.82960151802661</v>
      </c>
      <c r="D12" s="23">
        <f>D8*D10</f>
        <v>7.5171898470479999</v>
      </c>
      <c r="E12" s="23">
        <f>E8*E10</f>
        <v>2.880177356320774</v>
      </c>
      <c r="F12" s="23">
        <f>F8*F10</f>
        <v>294.71972576466709</v>
      </c>
      <c r="G12" s="23"/>
      <c r="H12" s="23"/>
      <c r="I12" s="23"/>
      <c r="J12" s="23">
        <f>J8*J10</f>
        <v>31.615940556373065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4.6728924041213753E-2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116.56534801945172</v>
      </c>
      <c r="C26" s="247">
        <f>B26*'GWP N2O_CH4'!B5</f>
        <v>2447.8723084084859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46.969749795090245</v>
      </c>
      <c r="C27" s="247">
        <f>B27*'GWP N2O_CH4'!B5</f>
        <v>986.36474569689517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2.1673859496863552</v>
      </c>
      <c r="C28" s="247">
        <f>B28*'GWP N2O_CH4'!B4</f>
        <v>671.88964440277016</v>
      </c>
      <c r="D28" s="50"/>
    </row>
    <row r="29" spans="1:4">
      <c r="A29" s="41" t="s">
        <v>276</v>
      </c>
      <c r="B29" s="247">
        <f>B34*'ha_N2O bodem landbouw'!B4</f>
        <v>16.195402925733884</v>
      </c>
      <c r="C29" s="247">
        <f>B29*'GWP N2O_CH4'!B4</f>
        <v>5020.5749069775038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3.6909785777987669E-3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5.9583919294010565E-4</v>
      </c>
      <c r="C5" s="440" t="s">
        <v>210</v>
      </c>
      <c r="D5" s="425">
        <f>SUM(D6:D11)</f>
        <v>2.4648541096965802E-3</v>
      </c>
      <c r="E5" s="425">
        <f>SUM(E6:E11)</f>
        <v>1.375326177100838E-3</v>
      </c>
      <c r="F5" s="438" t="s">
        <v>210</v>
      </c>
      <c r="G5" s="425">
        <f>SUM(G6:G11)</f>
        <v>0.60370715929028806</v>
      </c>
      <c r="H5" s="425">
        <f>SUM(H6:H11)</f>
        <v>0.15819714330081133</v>
      </c>
      <c r="I5" s="440" t="s">
        <v>210</v>
      </c>
      <c r="J5" s="440" t="s">
        <v>210</v>
      </c>
      <c r="K5" s="440" t="s">
        <v>210</v>
      </c>
      <c r="L5" s="440" t="s">
        <v>210</v>
      </c>
      <c r="M5" s="425">
        <f>SUM(M6:M11)</f>
        <v>4.4986879216685961E-2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3.5593630146115162E-4</v>
      </c>
      <c r="C6" s="426"/>
      <c r="D6" s="893">
        <f>vkm_GW_PW*SUMIFS(TableVerdeelsleutelVkm[CNG],TableVerdeelsleutelVkm[Voertuigtype],"Lichte voertuigen")*SUMIFS(TableECFTransport[EnergieConsumptieFactor (PJ per km)],TableECFTransport[Index],CONCATENATE($A6,"_CNG_CNG"))</f>
        <v>1.2855332998413967E-3</v>
      </c>
      <c r="E6" s="893">
        <f>vkm_GW_PW*SUMIFS(TableVerdeelsleutelVkm[LPG],TableVerdeelsleutelVkm[Voertuigtype],"Lichte voertuigen")*SUMIFS(TableECFTransport[EnergieConsumptieFactor (PJ per km)],TableECFTransport[Index],CONCATENATE($A6,"_LPG_LPG"))</f>
        <v>6.9865435052325229E-4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0.21741692923422615</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8.2283577997104951E-2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1.7961003283223774E-2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0.11298241286748945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1.1894272155839017E-6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6.3610868131925707E-3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1.239404963059914E-4</v>
      </c>
      <c r="C8" s="426"/>
      <c r="D8" s="428">
        <f>vkm_NGW_PW*SUMIFS(TableVerdeelsleutelVkm[CNG],TableVerdeelsleutelVkm[Voertuigtype],"Lichte voertuigen")*SUMIFS(TableECFTransport[EnergieConsumptieFactor (PJ per km)],TableECFTransport[Index],CONCATENATE($A8,"_CNG_CNG"))</f>
        <v>7.5877092957949072E-4</v>
      </c>
      <c r="E8" s="428">
        <f>vkm_NGW_PW*SUMIFS(TableVerdeelsleutelVkm[LPG],TableVerdeelsleutelVkm[Voertuigtype],"Lichte voertuigen")*SUMIFS(TableECFTransport[EnergieConsumptieFactor (PJ per km)],TableECFTransport[Index],CONCATENATE($A8,"_LPG_LPG"))</f>
        <v>3.9186408036926139E-4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0.11348393439086177</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4.7827514053820047E-2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9.7141476001292824E-3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8.299620414811304E-3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1.2690775670257122E-7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4.6728437766606243E-4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1.1596239517296264E-4</v>
      </c>
      <c r="C10" s="426"/>
      <c r="D10" s="428">
        <f>vkm_SW_PW*SUMIFS(TableVerdeelsleutelVkm[CNG],TableVerdeelsleutelVkm[Voertuigtype],"Lichte voertuigen")*SUMIFS(TableECFTransport[EnergieConsumptieFactor (PJ per km)],TableECFTransport[Index],CONCATENATE($A10,"_CNG_CNG"))</f>
        <v>4.2054988027569282E-4</v>
      </c>
      <c r="E10" s="428">
        <f>vkm_SW_PW*SUMIFS(TableVerdeelsleutelVkm[LPG],TableVerdeelsleutelVkm[Voertuigtype],"Lichte voertuigen")*SUMIFS(TableECFTransport[EnergieConsumptieFactor (PJ per km)],TableECFTransport[Index],CONCATENATE($A10,"_LPG_LPG"))</f>
        <v>2.8480774620832439E-4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7.8760991318502019E-2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2.8083923687855523E-2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6.3866678667606307E-3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7.2763271064397256E-2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8.1122705852206004E-7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4.0966892757136426E-3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165.51088692780712</v>
      </c>
      <c r="C14" s="21"/>
      <c r="D14" s="21">
        <f t="shared" ref="D14:M14" si="0">((D5)*10^9/3600)+D12</f>
        <v>684.68169713793895</v>
      </c>
      <c r="E14" s="21">
        <f t="shared" si="0"/>
        <v>382.03504919467719</v>
      </c>
      <c r="F14" s="21"/>
      <c r="G14" s="21">
        <f t="shared" si="0"/>
        <v>167696.43313619113</v>
      </c>
      <c r="H14" s="21">
        <f t="shared" si="0"/>
        <v>43943.650916892031</v>
      </c>
      <c r="I14" s="21"/>
      <c r="J14" s="21"/>
      <c r="K14" s="21"/>
      <c r="L14" s="21"/>
      <c r="M14" s="21">
        <f t="shared" si="0"/>
        <v>12496.355337968322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0.15046379077443084</v>
      </c>
      <c r="C16" s="56">
        <f ca="1">'EF ele_warmte'!B22</f>
        <v>1.0724497856490269E-2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24.903395461596052</v>
      </c>
      <c r="C18" s="23"/>
      <c r="D18" s="23">
        <f t="shared" ref="D18:M18" si="1">D14*D16</f>
        <v>138.30570282186369</v>
      </c>
      <c r="E18" s="23">
        <f t="shared" si="1"/>
        <v>86.721956167191721</v>
      </c>
      <c r="F18" s="23"/>
      <c r="G18" s="23">
        <f t="shared" si="1"/>
        <v>44774.947647363035</v>
      </c>
      <c r="H18" s="23">
        <f t="shared" si="1"/>
        <v>10941.969078306116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1.2930849717504309E-2</v>
      </c>
      <c r="H50" s="321">
        <f t="shared" si="2"/>
        <v>0</v>
      </c>
      <c r="I50" s="321">
        <f t="shared" si="2"/>
        <v>0</v>
      </c>
      <c r="J50" s="321">
        <f t="shared" si="2"/>
        <v>0</v>
      </c>
      <c r="K50" s="321">
        <f t="shared" si="2"/>
        <v>0</v>
      </c>
      <c r="L50" s="321">
        <f t="shared" si="2"/>
        <v>0</v>
      </c>
      <c r="M50" s="321">
        <f t="shared" si="2"/>
        <v>7.0170155446879661E-4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1.2930849717504309E-2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7.0170155446879661E-4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3591.9026993067528</v>
      </c>
      <c r="H54" s="21">
        <f t="shared" si="3"/>
        <v>0</v>
      </c>
      <c r="I54" s="21">
        <f t="shared" si="3"/>
        <v>0</v>
      </c>
      <c r="J54" s="21">
        <f t="shared" si="3"/>
        <v>0</v>
      </c>
      <c r="K54" s="21">
        <f t="shared" si="3"/>
        <v>0</v>
      </c>
      <c r="L54" s="21">
        <f t="shared" si="3"/>
        <v>0</v>
      </c>
      <c r="M54" s="21">
        <f t="shared" si="3"/>
        <v>194.91709846355459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0.15046379077443084</v>
      </c>
      <c r="C56" s="56">
        <f ca="1">'EF ele_warmte'!B22</f>
        <v>1.0724497856490269E-2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959.03802071490304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66177.002499000009</v>
      </c>
      <c r="D10" s="689">
        <f ca="1">tertiair!C16</f>
        <v>12.175675675675675</v>
      </c>
      <c r="E10" s="689">
        <f ca="1">tertiair!D16</f>
        <v>51917.88359660803</v>
      </c>
      <c r="F10" s="689">
        <f>tertiair!E16</f>
        <v>376.80878347912744</v>
      </c>
      <c r="G10" s="689">
        <f ca="1">tertiair!F16</f>
        <v>16522.081297299355</v>
      </c>
      <c r="H10" s="689">
        <f>tertiair!G16</f>
        <v>0</v>
      </c>
      <c r="I10" s="689">
        <f>tertiair!H16</f>
        <v>0</v>
      </c>
      <c r="J10" s="689">
        <f>tertiair!I16</f>
        <v>0</v>
      </c>
      <c r="K10" s="689">
        <f>tertiair!J16</f>
        <v>0.23272588894036103</v>
      </c>
      <c r="L10" s="689">
        <f>tertiair!K16</f>
        <v>0</v>
      </c>
      <c r="M10" s="689">
        <f ca="1">tertiair!L16</f>
        <v>0</v>
      </c>
      <c r="N10" s="689">
        <f>tertiair!M16</f>
        <v>0</v>
      </c>
      <c r="O10" s="689">
        <f ca="1">tertiair!N16</f>
        <v>0</v>
      </c>
      <c r="P10" s="689">
        <f>tertiair!O16</f>
        <v>9.7945215316823084</v>
      </c>
      <c r="Q10" s="690">
        <f>tertiair!P16</f>
        <v>262.69569153247511</v>
      </c>
      <c r="R10" s="692">
        <f ca="1">SUM(C10:Q10)</f>
        <v>135278.67479101528</v>
      </c>
      <c r="S10" s="67"/>
    </row>
    <row r="11" spans="1:19" s="451" customFormat="1">
      <c r="A11" s="811" t="s">
        <v>224</v>
      </c>
      <c r="B11" s="816"/>
      <c r="C11" s="689">
        <f>huishoudens!B8</f>
        <v>46870.424255386635</v>
      </c>
      <c r="D11" s="689">
        <f>huishoudens!C8</f>
        <v>0</v>
      </c>
      <c r="E11" s="689">
        <f>huishoudens!D8</f>
        <v>88352.670714189459</v>
      </c>
      <c r="F11" s="689">
        <f>huishoudens!E8</f>
        <v>7434.4922763006925</v>
      </c>
      <c r="G11" s="689">
        <f>huishoudens!F8</f>
        <v>62095.901114518769</v>
      </c>
      <c r="H11" s="689">
        <f>huishoudens!G8</f>
        <v>0</v>
      </c>
      <c r="I11" s="689">
        <f>huishoudens!H8</f>
        <v>0</v>
      </c>
      <c r="J11" s="689">
        <f>huishoudens!I8</f>
        <v>0</v>
      </c>
      <c r="K11" s="689">
        <f>huishoudens!J8</f>
        <v>0</v>
      </c>
      <c r="L11" s="689">
        <f>huishoudens!K8</f>
        <v>0</v>
      </c>
      <c r="M11" s="689">
        <f>huishoudens!L8</f>
        <v>0</v>
      </c>
      <c r="N11" s="689">
        <f>huishoudens!M8</f>
        <v>0</v>
      </c>
      <c r="O11" s="689">
        <f>huishoudens!N8</f>
        <v>30482.474433197167</v>
      </c>
      <c r="P11" s="689">
        <f>huishoudens!O8</f>
        <v>942.38015420884005</v>
      </c>
      <c r="Q11" s="690">
        <f>huishoudens!P8</f>
        <v>948.05633769165206</v>
      </c>
      <c r="R11" s="692">
        <f>SUM(C11:Q11)</f>
        <v>237126.39928549324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25623.841212000003</v>
      </c>
      <c r="D13" s="689">
        <f>industrie!C18</f>
        <v>900.00000000000023</v>
      </c>
      <c r="E13" s="689">
        <f>industrie!D18</f>
        <v>25339.234220238002</v>
      </c>
      <c r="F13" s="689">
        <f>industrie!E18</f>
        <v>104.5298112157332</v>
      </c>
      <c r="G13" s="689">
        <f>industrie!F18</f>
        <v>5103.8517713751153</v>
      </c>
      <c r="H13" s="689">
        <f>industrie!G18</f>
        <v>0</v>
      </c>
      <c r="I13" s="689">
        <f>industrie!H18</f>
        <v>0</v>
      </c>
      <c r="J13" s="689">
        <f>industrie!I18</f>
        <v>0</v>
      </c>
      <c r="K13" s="689">
        <f>industrie!J18</f>
        <v>11.177705503307706</v>
      </c>
      <c r="L13" s="689">
        <f>industrie!K18</f>
        <v>0</v>
      </c>
      <c r="M13" s="689">
        <f>industrie!L18</f>
        <v>0</v>
      </c>
      <c r="N13" s="689">
        <f>industrie!M18</f>
        <v>0</v>
      </c>
      <c r="O13" s="689">
        <f>industrie!N18</f>
        <v>1179.0272567768875</v>
      </c>
      <c r="P13" s="689">
        <f>industrie!O18</f>
        <v>0</v>
      </c>
      <c r="Q13" s="690">
        <f>industrie!P18</f>
        <v>0</v>
      </c>
      <c r="R13" s="692">
        <f>SUM(C13:Q13)</f>
        <v>58261.661977109048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138671.26796638666</v>
      </c>
      <c r="D16" s="725">
        <f t="shared" ref="D16:R16" ca="1" si="0">SUM(D9:D15)</f>
        <v>912.17567567567585</v>
      </c>
      <c r="E16" s="725">
        <f t="shared" ca="1" si="0"/>
        <v>165609.78853103548</v>
      </c>
      <c r="F16" s="725">
        <f t="shared" si="0"/>
        <v>7915.8308709955536</v>
      </c>
      <c r="G16" s="725">
        <f t="shared" ca="1" si="0"/>
        <v>83721.834183193248</v>
      </c>
      <c r="H16" s="725">
        <f t="shared" si="0"/>
        <v>0</v>
      </c>
      <c r="I16" s="725">
        <f t="shared" si="0"/>
        <v>0</v>
      </c>
      <c r="J16" s="725">
        <f t="shared" si="0"/>
        <v>0</v>
      </c>
      <c r="K16" s="725">
        <f t="shared" si="0"/>
        <v>11.410431392248068</v>
      </c>
      <c r="L16" s="725">
        <f t="shared" si="0"/>
        <v>0</v>
      </c>
      <c r="M16" s="725">
        <f t="shared" ca="1" si="0"/>
        <v>0</v>
      </c>
      <c r="N16" s="725">
        <f t="shared" si="0"/>
        <v>0</v>
      </c>
      <c r="O16" s="725">
        <f t="shared" ca="1" si="0"/>
        <v>31661.501689974055</v>
      </c>
      <c r="P16" s="725">
        <f t="shared" si="0"/>
        <v>952.17467574052239</v>
      </c>
      <c r="Q16" s="725">
        <f t="shared" si="0"/>
        <v>1210.7520292241272</v>
      </c>
      <c r="R16" s="725">
        <f t="shared" ca="1" si="0"/>
        <v>430666.73605361755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3591.9026993067528</v>
      </c>
      <c r="I19" s="689">
        <f>transport!H54</f>
        <v>0</v>
      </c>
      <c r="J19" s="689">
        <f>transport!I54</f>
        <v>0</v>
      </c>
      <c r="K19" s="689">
        <f>transport!J54</f>
        <v>0</v>
      </c>
      <c r="L19" s="689">
        <f>transport!K54</f>
        <v>0</v>
      </c>
      <c r="M19" s="689">
        <f>transport!L54</f>
        <v>0</v>
      </c>
      <c r="N19" s="689">
        <f>transport!M54</f>
        <v>194.91709846355459</v>
      </c>
      <c r="O19" s="689">
        <f>transport!N54</f>
        <v>0</v>
      </c>
      <c r="P19" s="689">
        <f>transport!O54</f>
        <v>0</v>
      </c>
      <c r="Q19" s="690">
        <f>transport!P54</f>
        <v>0</v>
      </c>
      <c r="R19" s="692">
        <f>SUM(C19:Q19)</f>
        <v>3786.8197977703076</v>
      </c>
      <c r="S19" s="67"/>
    </row>
    <row r="20" spans="1:19" s="451" customFormat="1">
      <c r="A20" s="811" t="s">
        <v>306</v>
      </c>
      <c r="B20" s="816"/>
      <c r="C20" s="689">
        <f>transport!B14</f>
        <v>165.51088692780712</v>
      </c>
      <c r="D20" s="689">
        <f>transport!C14</f>
        <v>0</v>
      </c>
      <c r="E20" s="689">
        <f>transport!D14</f>
        <v>684.68169713793895</v>
      </c>
      <c r="F20" s="689">
        <f>transport!E14</f>
        <v>382.03504919467719</v>
      </c>
      <c r="G20" s="689">
        <f>transport!F14</f>
        <v>0</v>
      </c>
      <c r="H20" s="689">
        <f>transport!G14</f>
        <v>167696.43313619113</v>
      </c>
      <c r="I20" s="689">
        <f>transport!H14</f>
        <v>43943.650916892031</v>
      </c>
      <c r="J20" s="689">
        <f>transport!I14</f>
        <v>0</v>
      </c>
      <c r="K20" s="689">
        <f>transport!J14</f>
        <v>0</v>
      </c>
      <c r="L20" s="689">
        <f>transport!K14</f>
        <v>0</v>
      </c>
      <c r="M20" s="689">
        <f>transport!L14</f>
        <v>0</v>
      </c>
      <c r="N20" s="689">
        <f>transport!M14</f>
        <v>12496.355337968322</v>
      </c>
      <c r="O20" s="689">
        <f>transport!N14</f>
        <v>0</v>
      </c>
      <c r="P20" s="689">
        <f>transport!O14</f>
        <v>0</v>
      </c>
      <c r="Q20" s="690">
        <f>transport!P14</f>
        <v>0</v>
      </c>
      <c r="R20" s="692">
        <f>SUM(C20:Q20)</f>
        <v>225368.6670243119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165.51088692780712</v>
      </c>
      <c r="D22" s="814">
        <f t="shared" ref="D22:R22" si="1">SUM(D18:D21)</f>
        <v>0</v>
      </c>
      <c r="E22" s="814">
        <f t="shared" si="1"/>
        <v>684.68169713793895</v>
      </c>
      <c r="F22" s="814">
        <f t="shared" si="1"/>
        <v>382.03504919467719</v>
      </c>
      <c r="G22" s="814">
        <f t="shared" si="1"/>
        <v>0</v>
      </c>
      <c r="H22" s="814">
        <f t="shared" si="1"/>
        <v>171288.33583549788</v>
      </c>
      <c r="I22" s="814">
        <f t="shared" si="1"/>
        <v>43943.650916892031</v>
      </c>
      <c r="J22" s="814">
        <f t="shared" si="1"/>
        <v>0</v>
      </c>
      <c r="K22" s="814">
        <f t="shared" si="1"/>
        <v>0</v>
      </c>
      <c r="L22" s="814">
        <f t="shared" si="1"/>
        <v>0</v>
      </c>
      <c r="M22" s="814">
        <f t="shared" si="1"/>
        <v>0</v>
      </c>
      <c r="N22" s="814">
        <f t="shared" si="1"/>
        <v>12691.272436431876</v>
      </c>
      <c r="O22" s="814">
        <f t="shared" si="1"/>
        <v>0</v>
      </c>
      <c r="P22" s="814">
        <f t="shared" si="1"/>
        <v>0</v>
      </c>
      <c r="Q22" s="814">
        <f t="shared" si="1"/>
        <v>0</v>
      </c>
      <c r="R22" s="814">
        <f t="shared" si="1"/>
        <v>229155.4868220822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340.22433100000001</v>
      </c>
      <c r="D24" s="689">
        <f>+landbouw!C8</f>
        <v>19285.714285714286</v>
      </c>
      <c r="E24" s="689">
        <f>+landbouw!D8</f>
        <v>37.213811123999996</v>
      </c>
      <c r="F24" s="689">
        <f>+landbouw!E8</f>
        <v>12.688005974981383</v>
      </c>
      <c r="G24" s="689">
        <f>+landbouw!F8</f>
        <v>1103.819197620476</v>
      </c>
      <c r="H24" s="689">
        <f>+landbouw!G8</f>
        <v>0</v>
      </c>
      <c r="I24" s="689">
        <f>+landbouw!H8</f>
        <v>0</v>
      </c>
      <c r="J24" s="689">
        <f>+landbouw!I8</f>
        <v>0</v>
      </c>
      <c r="K24" s="689">
        <f>+landbouw!J8</f>
        <v>89.310566543426745</v>
      </c>
      <c r="L24" s="689">
        <f>+landbouw!K8</f>
        <v>0</v>
      </c>
      <c r="M24" s="689">
        <f>+landbouw!L8</f>
        <v>0</v>
      </c>
      <c r="N24" s="689">
        <f>+landbouw!M8</f>
        <v>0</v>
      </c>
      <c r="O24" s="689">
        <f>+landbouw!N8</f>
        <v>0</v>
      </c>
      <c r="P24" s="689">
        <f>+landbouw!O8</f>
        <v>0</v>
      </c>
      <c r="Q24" s="690">
        <f>+landbouw!P8</f>
        <v>0</v>
      </c>
      <c r="R24" s="692">
        <f>SUM(C24:Q24)</f>
        <v>20868.970197977171</v>
      </c>
      <c r="S24" s="67"/>
    </row>
    <row r="25" spans="1:19" s="451" customFormat="1" ht="15" thickBot="1">
      <c r="A25" s="833" t="s">
        <v>714</v>
      </c>
      <c r="B25" s="947"/>
      <c r="C25" s="948">
        <f>IF(Onbekend_ele_kWh="---",0,Onbekend_ele_kWh)/1000+IF(REST_rest_ele_kWh="---",0,REST_rest_ele_kWh)/1000</f>
        <v>5018.4772649999995</v>
      </c>
      <c r="D25" s="948"/>
      <c r="E25" s="948">
        <f>IF(onbekend_gas_kWh="---",0,onbekend_gas_kWh)/1000+IF(REST_rest_gas_kWh="---",0,REST_rest_gas_kWh)/1000</f>
        <v>1968.964318</v>
      </c>
      <c r="F25" s="948"/>
      <c r="G25" s="948"/>
      <c r="H25" s="948"/>
      <c r="I25" s="948"/>
      <c r="J25" s="948"/>
      <c r="K25" s="948"/>
      <c r="L25" s="948"/>
      <c r="M25" s="948"/>
      <c r="N25" s="948"/>
      <c r="O25" s="948"/>
      <c r="P25" s="948"/>
      <c r="Q25" s="949"/>
      <c r="R25" s="692">
        <f>SUM(C25:Q25)</f>
        <v>6987.4415829999998</v>
      </c>
      <c r="S25" s="67"/>
    </row>
    <row r="26" spans="1:19" s="451" customFormat="1" ht="15.75" thickBot="1">
      <c r="A26" s="697" t="s">
        <v>715</v>
      </c>
      <c r="B26" s="819"/>
      <c r="C26" s="814">
        <f>SUM(C24:C25)</f>
        <v>5358.7015959999999</v>
      </c>
      <c r="D26" s="814">
        <f t="shared" ref="D26:R26" si="2">SUM(D24:D25)</f>
        <v>19285.714285714286</v>
      </c>
      <c r="E26" s="814">
        <f t="shared" si="2"/>
        <v>2006.178129124</v>
      </c>
      <c r="F26" s="814">
        <f t="shared" si="2"/>
        <v>12.688005974981383</v>
      </c>
      <c r="G26" s="814">
        <f t="shared" si="2"/>
        <v>1103.819197620476</v>
      </c>
      <c r="H26" s="814">
        <f t="shared" si="2"/>
        <v>0</v>
      </c>
      <c r="I26" s="814">
        <f t="shared" si="2"/>
        <v>0</v>
      </c>
      <c r="J26" s="814">
        <f t="shared" si="2"/>
        <v>0</v>
      </c>
      <c r="K26" s="814">
        <f t="shared" si="2"/>
        <v>89.310566543426745</v>
      </c>
      <c r="L26" s="814">
        <f t="shared" si="2"/>
        <v>0</v>
      </c>
      <c r="M26" s="814">
        <f t="shared" si="2"/>
        <v>0</v>
      </c>
      <c r="N26" s="814">
        <f t="shared" si="2"/>
        <v>0</v>
      </c>
      <c r="O26" s="814">
        <f t="shared" si="2"/>
        <v>0</v>
      </c>
      <c r="P26" s="814">
        <f t="shared" si="2"/>
        <v>0</v>
      </c>
      <c r="Q26" s="814">
        <f t="shared" si="2"/>
        <v>0</v>
      </c>
      <c r="R26" s="814">
        <f t="shared" si="2"/>
        <v>27856.411780977171</v>
      </c>
      <c r="S26" s="67"/>
    </row>
    <row r="27" spans="1:19" s="451" customFormat="1" ht="17.25" thickTop="1" thickBot="1">
      <c r="A27" s="698" t="s">
        <v>115</v>
      </c>
      <c r="B27" s="806"/>
      <c r="C27" s="699">
        <f ca="1">C22+C16+C26</f>
        <v>144195.48044931446</v>
      </c>
      <c r="D27" s="699">
        <f t="shared" ref="D27:R27" ca="1" si="3">D22+D16+D26</f>
        <v>20197.889961389963</v>
      </c>
      <c r="E27" s="699">
        <f t="shared" ca="1" si="3"/>
        <v>168300.64835729741</v>
      </c>
      <c r="F27" s="699">
        <f t="shared" si="3"/>
        <v>8310.553926165212</v>
      </c>
      <c r="G27" s="699">
        <f t="shared" ca="1" si="3"/>
        <v>84825.653380813717</v>
      </c>
      <c r="H27" s="699">
        <f t="shared" si="3"/>
        <v>171288.33583549788</v>
      </c>
      <c r="I27" s="699">
        <f t="shared" si="3"/>
        <v>43943.650916892031</v>
      </c>
      <c r="J27" s="699">
        <f t="shared" si="3"/>
        <v>0</v>
      </c>
      <c r="K27" s="699">
        <f t="shared" si="3"/>
        <v>100.72099793567482</v>
      </c>
      <c r="L27" s="699">
        <f t="shared" si="3"/>
        <v>0</v>
      </c>
      <c r="M27" s="699">
        <f t="shared" ca="1" si="3"/>
        <v>0</v>
      </c>
      <c r="N27" s="699">
        <f t="shared" si="3"/>
        <v>12691.272436431876</v>
      </c>
      <c r="O27" s="699">
        <f t="shared" ca="1" si="3"/>
        <v>31661.501689974055</v>
      </c>
      <c r="P27" s="699">
        <f t="shared" si="3"/>
        <v>952.17467574052239</v>
      </c>
      <c r="Q27" s="699">
        <f t="shared" si="3"/>
        <v>1210.7520292241272</v>
      </c>
      <c r="R27" s="699">
        <f t="shared" ca="1" si="3"/>
        <v>687678.63465667691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9957.242658088524</v>
      </c>
      <c r="D40" s="689">
        <f ca="1">tertiair!C20</f>
        <v>0.1305780076851045</v>
      </c>
      <c r="E40" s="689">
        <f ca="1">tertiair!D20</f>
        <v>10487.412486514822</v>
      </c>
      <c r="F40" s="689">
        <f>tertiair!E20</f>
        <v>85.535593849761938</v>
      </c>
      <c r="G40" s="689">
        <f ca="1">tertiair!F20</f>
        <v>4411.3957063789285</v>
      </c>
      <c r="H40" s="689">
        <f>tertiair!G20</f>
        <v>0</v>
      </c>
      <c r="I40" s="689">
        <f>tertiair!H20</f>
        <v>0</v>
      </c>
      <c r="J40" s="689">
        <f>tertiair!I20</f>
        <v>0</v>
      </c>
      <c r="K40" s="689">
        <f>tertiair!J20</f>
        <v>8.2384964684887804E-2</v>
      </c>
      <c r="L40" s="689">
        <f>tertiair!K20</f>
        <v>0</v>
      </c>
      <c r="M40" s="689">
        <f ca="1">tertiair!L20</f>
        <v>0</v>
      </c>
      <c r="N40" s="689">
        <f>tertiair!M20</f>
        <v>0</v>
      </c>
      <c r="O40" s="689">
        <f ca="1">tertiair!N20</f>
        <v>0</v>
      </c>
      <c r="P40" s="689">
        <f>tertiair!O20</f>
        <v>0</v>
      </c>
      <c r="Q40" s="772">
        <f>tertiair!P20</f>
        <v>0</v>
      </c>
      <c r="R40" s="852">
        <f t="shared" ca="1" si="4"/>
        <v>24941.799407804407</v>
      </c>
    </row>
    <row r="41" spans="1:18">
      <c r="A41" s="824" t="s">
        <v>224</v>
      </c>
      <c r="B41" s="831"/>
      <c r="C41" s="689">
        <f ca="1">huishoudens!B12</f>
        <v>7052.3017086713035</v>
      </c>
      <c r="D41" s="689">
        <f ca="1">huishoudens!C12</f>
        <v>0</v>
      </c>
      <c r="E41" s="689">
        <f>huishoudens!D12</f>
        <v>17847.239484266272</v>
      </c>
      <c r="F41" s="689">
        <f>huishoudens!E12</f>
        <v>1687.6297467202573</v>
      </c>
      <c r="G41" s="689">
        <f>huishoudens!F12</f>
        <v>16579.605597576512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43166.776537234342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3855.460282959607</v>
      </c>
      <c r="D43" s="689">
        <f ca="1">industrie!C22</f>
        <v>9.6520480708412446</v>
      </c>
      <c r="E43" s="689">
        <f>industrie!D22</f>
        <v>5118.5253124880765</v>
      </c>
      <c r="F43" s="689">
        <f>industrie!E22</f>
        <v>23.728267145971436</v>
      </c>
      <c r="G43" s="689">
        <f>industrie!F22</f>
        <v>1362.7284229571558</v>
      </c>
      <c r="H43" s="689">
        <f>industrie!G22</f>
        <v>0</v>
      </c>
      <c r="I43" s="689">
        <f>industrie!H22</f>
        <v>0</v>
      </c>
      <c r="J43" s="689">
        <f>industrie!I22</f>
        <v>0</v>
      </c>
      <c r="K43" s="689">
        <f>industrie!J22</f>
        <v>3.9569077481709276</v>
      </c>
      <c r="L43" s="689">
        <f>industrie!K22</f>
        <v>0</v>
      </c>
      <c r="M43" s="689">
        <f>industrie!L22</f>
        <v>0</v>
      </c>
      <c r="N43" s="689">
        <f>industrie!M22</f>
        <v>0</v>
      </c>
      <c r="O43" s="689">
        <f>industrie!N22</f>
        <v>0</v>
      </c>
      <c r="P43" s="689">
        <f>industrie!O22</f>
        <v>0</v>
      </c>
      <c r="Q43" s="772">
        <f>industrie!P22</f>
        <v>0</v>
      </c>
      <c r="R43" s="851">
        <f t="shared" ca="1" si="4"/>
        <v>10374.051241369822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20865.004649719434</v>
      </c>
      <c r="D46" s="725">
        <f t="shared" ref="D46:Q46" ca="1" si="5">SUM(D39:D45)</f>
        <v>9.7826260785263486</v>
      </c>
      <c r="E46" s="725">
        <f t="shared" ca="1" si="5"/>
        <v>33453.177283269171</v>
      </c>
      <c r="F46" s="725">
        <f t="shared" si="5"/>
        <v>1796.8936077159906</v>
      </c>
      <c r="G46" s="725">
        <f t="shared" ca="1" si="5"/>
        <v>22353.729726912596</v>
      </c>
      <c r="H46" s="725">
        <f t="shared" si="5"/>
        <v>0</v>
      </c>
      <c r="I46" s="725">
        <f t="shared" si="5"/>
        <v>0</v>
      </c>
      <c r="J46" s="725">
        <f t="shared" si="5"/>
        <v>0</v>
      </c>
      <c r="K46" s="725">
        <f t="shared" si="5"/>
        <v>4.0392927128558158</v>
      </c>
      <c r="L46" s="725">
        <f t="shared" si="5"/>
        <v>0</v>
      </c>
      <c r="M46" s="725">
        <f t="shared" ca="1" si="5"/>
        <v>0</v>
      </c>
      <c r="N46" s="725">
        <f t="shared" si="5"/>
        <v>0</v>
      </c>
      <c r="O46" s="725">
        <f t="shared" ca="1" si="5"/>
        <v>0</v>
      </c>
      <c r="P46" s="725">
        <f t="shared" si="5"/>
        <v>0</v>
      </c>
      <c r="Q46" s="725">
        <f t="shared" si="5"/>
        <v>0</v>
      </c>
      <c r="R46" s="725">
        <f ca="1">SUM(R39:R45)</f>
        <v>78482.627186408572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959.03802071490304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959.03802071490304</v>
      </c>
    </row>
    <row r="50" spans="1:18">
      <c r="A50" s="827" t="s">
        <v>306</v>
      </c>
      <c r="B50" s="837"/>
      <c r="C50" s="695">
        <f ca="1">transport!B18</f>
        <v>24.903395461596052</v>
      </c>
      <c r="D50" s="695">
        <f>transport!C18</f>
        <v>0</v>
      </c>
      <c r="E50" s="695">
        <f>transport!D18</f>
        <v>138.30570282186369</v>
      </c>
      <c r="F50" s="695">
        <f>transport!E18</f>
        <v>86.721956167191721</v>
      </c>
      <c r="G50" s="695">
        <f>transport!F18</f>
        <v>0</v>
      </c>
      <c r="H50" s="695">
        <f>transport!G18</f>
        <v>44774.947647363035</v>
      </c>
      <c r="I50" s="695">
        <f>transport!H18</f>
        <v>10941.969078306116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55966.847780119802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24.903395461596052</v>
      </c>
      <c r="D52" s="725">
        <f t="shared" ref="D52:Q52" ca="1" si="6">SUM(D48:D51)</f>
        <v>0</v>
      </c>
      <c r="E52" s="725">
        <f t="shared" si="6"/>
        <v>138.30570282186369</v>
      </c>
      <c r="F52" s="725">
        <f t="shared" si="6"/>
        <v>86.721956167191721</v>
      </c>
      <c r="G52" s="725">
        <f t="shared" si="6"/>
        <v>0</v>
      </c>
      <c r="H52" s="725">
        <f t="shared" si="6"/>
        <v>45733.985668077941</v>
      </c>
      <c r="I52" s="725">
        <f t="shared" si="6"/>
        <v>10941.969078306116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56925.885800834709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51.191442555954708</v>
      </c>
      <c r="D54" s="695">
        <f ca="1">+landbouw!C12</f>
        <v>206.82960151802661</v>
      </c>
      <c r="E54" s="695">
        <f>+landbouw!D12</f>
        <v>7.5171898470479999</v>
      </c>
      <c r="F54" s="695">
        <f>+landbouw!E12</f>
        <v>2.880177356320774</v>
      </c>
      <c r="G54" s="695">
        <f>+landbouw!F12</f>
        <v>294.71972576466709</v>
      </c>
      <c r="H54" s="695">
        <f>+landbouw!G12</f>
        <v>0</v>
      </c>
      <c r="I54" s="695">
        <f>+landbouw!H12</f>
        <v>0</v>
      </c>
      <c r="J54" s="695">
        <f>+landbouw!I12</f>
        <v>0</v>
      </c>
      <c r="K54" s="695">
        <f>+landbouw!J12</f>
        <v>31.615940556373065</v>
      </c>
      <c r="L54" s="695">
        <f>+landbouw!K12</f>
        <v>0</v>
      </c>
      <c r="M54" s="695">
        <f>+landbouw!L12</f>
        <v>0</v>
      </c>
      <c r="N54" s="695">
        <f>+landbouw!M12</f>
        <v>0</v>
      </c>
      <c r="O54" s="695">
        <f>+landbouw!N12</f>
        <v>0</v>
      </c>
      <c r="P54" s="695">
        <f>+landbouw!O12</f>
        <v>0</v>
      </c>
      <c r="Q54" s="696">
        <f>+landbouw!P12</f>
        <v>0</v>
      </c>
      <c r="R54" s="724">
        <f ca="1">SUM(C54:Q54)</f>
        <v>594.75407759839027</v>
      </c>
    </row>
    <row r="55" spans="1:18" ht="15" thickBot="1">
      <c r="A55" s="827" t="s">
        <v>714</v>
      </c>
      <c r="B55" s="837"/>
      <c r="C55" s="695">
        <f ca="1">C25*'EF ele_warmte'!B12</f>
        <v>755.09911320719789</v>
      </c>
      <c r="D55" s="695"/>
      <c r="E55" s="695">
        <f>E25*EF_CO2_aardgas</f>
        <v>397.73079223600001</v>
      </c>
      <c r="F55" s="695"/>
      <c r="G55" s="695"/>
      <c r="H55" s="695"/>
      <c r="I55" s="695"/>
      <c r="J55" s="695"/>
      <c r="K55" s="695"/>
      <c r="L55" s="695"/>
      <c r="M55" s="695"/>
      <c r="N55" s="695"/>
      <c r="O55" s="695"/>
      <c r="P55" s="695"/>
      <c r="Q55" s="696"/>
      <c r="R55" s="724">
        <f ca="1">SUM(C55:Q55)</f>
        <v>1152.829905443198</v>
      </c>
    </row>
    <row r="56" spans="1:18" ht="15.75" thickBot="1">
      <c r="A56" s="825" t="s">
        <v>715</v>
      </c>
      <c r="B56" s="838"/>
      <c r="C56" s="725">
        <f ca="1">SUM(C54:C55)</f>
        <v>806.29055576315261</v>
      </c>
      <c r="D56" s="725">
        <f t="shared" ref="D56:Q56" ca="1" si="7">SUM(D54:D55)</f>
        <v>206.82960151802661</v>
      </c>
      <c r="E56" s="725">
        <f t="shared" si="7"/>
        <v>405.24798208304799</v>
      </c>
      <c r="F56" s="725">
        <f t="shared" si="7"/>
        <v>2.880177356320774</v>
      </c>
      <c r="G56" s="725">
        <f t="shared" si="7"/>
        <v>294.71972576466709</v>
      </c>
      <c r="H56" s="725">
        <f t="shared" si="7"/>
        <v>0</v>
      </c>
      <c r="I56" s="725">
        <f t="shared" si="7"/>
        <v>0</v>
      </c>
      <c r="J56" s="725">
        <f t="shared" si="7"/>
        <v>0</v>
      </c>
      <c r="K56" s="725">
        <f t="shared" si="7"/>
        <v>31.615940556373065</v>
      </c>
      <c r="L56" s="725">
        <f t="shared" si="7"/>
        <v>0</v>
      </c>
      <c r="M56" s="725">
        <f t="shared" si="7"/>
        <v>0</v>
      </c>
      <c r="N56" s="725">
        <f t="shared" si="7"/>
        <v>0</v>
      </c>
      <c r="O56" s="725">
        <f t="shared" si="7"/>
        <v>0</v>
      </c>
      <c r="P56" s="725">
        <f t="shared" si="7"/>
        <v>0</v>
      </c>
      <c r="Q56" s="726">
        <f t="shared" si="7"/>
        <v>0</v>
      </c>
      <c r="R56" s="727">
        <f ca="1">SUM(R54:R55)</f>
        <v>1747.5839830415882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21696.198600944183</v>
      </c>
      <c r="D61" s="733">
        <f t="shared" ref="D61:Q61" ca="1" si="8">D46+D52+D56</f>
        <v>216.61222759655294</v>
      </c>
      <c r="E61" s="733">
        <f t="shared" ca="1" si="8"/>
        <v>33996.730968174081</v>
      </c>
      <c r="F61" s="733">
        <f t="shared" si="8"/>
        <v>1886.4957412395031</v>
      </c>
      <c r="G61" s="733">
        <f t="shared" ca="1" si="8"/>
        <v>22648.449452677261</v>
      </c>
      <c r="H61" s="733">
        <f t="shared" si="8"/>
        <v>45733.985668077941</v>
      </c>
      <c r="I61" s="733">
        <f t="shared" si="8"/>
        <v>10941.969078306116</v>
      </c>
      <c r="J61" s="733">
        <f t="shared" si="8"/>
        <v>0</v>
      </c>
      <c r="K61" s="733">
        <f t="shared" si="8"/>
        <v>35.65523326922888</v>
      </c>
      <c r="L61" s="733">
        <f t="shared" si="8"/>
        <v>0</v>
      </c>
      <c r="M61" s="733">
        <f t="shared" ca="1" si="8"/>
        <v>0</v>
      </c>
      <c r="N61" s="733">
        <f t="shared" si="8"/>
        <v>0</v>
      </c>
      <c r="O61" s="733">
        <f t="shared" ca="1" si="8"/>
        <v>0</v>
      </c>
      <c r="P61" s="733">
        <f t="shared" si="8"/>
        <v>0</v>
      </c>
      <c r="Q61" s="733">
        <f t="shared" si="8"/>
        <v>0</v>
      </c>
      <c r="R61" s="733">
        <f ca="1">R46+R52+R56</f>
        <v>137156.09697028485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0.15046379077443084</v>
      </c>
      <c r="D63" s="779">
        <f t="shared" ca="1" si="9"/>
        <v>1.0724497856490267E-2</v>
      </c>
      <c r="E63" s="973">
        <f t="shared" ca="1" si="9"/>
        <v>0.20200000000000001</v>
      </c>
      <c r="F63" s="779">
        <f t="shared" si="9"/>
        <v>0.22700000000000001</v>
      </c>
      <c r="G63" s="779">
        <f t="shared" ca="1" si="9"/>
        <v>0.26699999999999996</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18237.737064698198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13500.43872435398</v>
      </c>
      <c r="C76" s="746">
        <f>'lokale energieproductie'!B8*IFERROR(SUM(D76:H76)/SUM(D76:O76),0)</f>
        <v>638.06127564601934</v>
      </c>
      <c r="D76" s="956">
        <f>'lokale energieproductie'!C8</f>
        <v>750.63521259399829</v>
      </c>
      <c r="E76" s="957">
        <f>'lokale energieproductie'!D8</f>
        <v>0</v>
      </c>
      <c r="F76" s="957">
        <f>'lokale energieproductie'!E8</f>
        <v>0</v>
      </c>
      <c r="G76" s="957">
        <f>'lokale energieproductie'!F8</f>
        <v>0</v>
      </c>
      <c r="H76" s="957">
        <f>'lokale energieproductie'!G8</f>
        <v>0</v>
      </c>
      <c r="I76" s="957">
        <f>'lokale energieproductie'!I8</f>
        <v>0</v>
      </c>
      <c r="J76" s="957">
        <f>'lokale energieproductie'!J8</f>
        <v>15882.337760910816</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151.62831294398765</v>
      </c>
      <c r="R76" s="854">
        <v>0</v>
      </c>
    </row>
    <row r="77" spans="1:18" ht="15.75" thickBot="1">
      <c r="A77" s="749" t="s">
        <v>760</v>
      </c>
      <c r="B77" s="746">
        <f>'lokale energieproductie'!B9*IFERROR(SUM(I77:O77)/SUM(D77:O77),0)</f>
        <v>14332.5</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40950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46070.675789052177</v>
      </c>
      <c r="C78" s="751">
        <f>SUM(C72:C77)</f>
        <v>638.06127564601934</v>
      </c>
      <c r="D78" s="752">
        <f t="shared" ref="D78:H78" si="10">SUM(D76:D77)</f>
        <v>750.63521259399829</v>
      </c>
      <c r="E78" s="752">
        <f t="shared" si="10"/>
        <v>0</v>
      </c>
      <c r="F78" s="752">
        <f t="shared" si="10"/>
        <v>0</v>
      </c>
      <c r="G78" s="752">
        <f t="shared" si="10"/>
        <v>0</v>
      </c>
      <c r="H78" s="752">
        <f t="shared" si="10"/>
        <v>0</v>
      </c>
      <c r="I78" s="752">
        <f>SUM(I76:I77)</f>
        <v>0</v>
      </c>
      <c r="J78" s="752">
        <f>SUM(J76:J77)</f>
        <v>56832.337760910814</v>
      </c>
      <c r="K78" s="752">
        <f t="shared" ref="K78:L78" si="11">SUM(K76:K77)</f>
        <v>0</v>
      </c>
      <c r="L78" s="752">
        <f t="shared" si="11"/>
        <v>0</v>
      </c>
      <c r="M78" s="752">
        <f>SUM(M76:M77)</f>
        <v>0</v>
      </c>
      <c r="N78" s="752">
        <f>SUM(N76:N77)</f>
        <v>0</v>
      </c>
      <c r="O78" s="862">
        <f>SUM(O76:O77)</f>
        <v>0</v>
      </c>
      <c r="P78" s="753">
        <v>0</v>
      </c>
      <c r="Q78" s="753">
        <f>SUM(Q76:Q77)</f>
        <v>151.62831294398765</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19286.37237224526</v>
      </c>
      <c r="C87" s="764">
        <f>'lokale energieproductie'!B17*IFERROR(SUM(D87:H87)/SUM(D87:O87),0)</f>
        <v>911.51758914470474</v>
      </c>
      <c r="D87" s="775">
        <f>'lokale energieproductie'!C17</f>
        <v>1072.337760378975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22689.090810517755</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216.61222759655297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19286.37237224526</v>
      </c>
      <c r="C90" s="751">
        <f>SUM(C87:C89)</f>
        <v>911.51758914470474</v>
      </c>
      <c r="D90" s="751">
        <f t="shared" ref="D90:H90" si="12">SUM(D87:D89)</f>
        <v>1072.337760378975</v>
      </c>
      <c r="E90" s="751">
        <f t="shared" si="12"/>
        <v>0</v>
      </c>
      <c r="F90" s="751">
        <f t="shared" si="12"/>
        <v>0</v>
      </c>
      <c r="G90" s="751">
        <f t="shared" si="12"/>
        <v>0</v>
      </c>
      <c r="H90" s="751">
        <f t="shared" si="12"/>
        <v>0</v>
      </c>
      <c r="I90" s="751">
        <f>SUM(I87:I89)</f>
        <v>0</v>
      </c>
      <c r="J90" s="751">
        <f>SUM(J87:J89)</f>
        <v>22689.090810517755</v>
      </c>
      <c r="K90" s="751">
        <f t="shared" ref="K90:L90" si="13">SUM(K87:K89)</f>
        <v>0</v>
      </c>
      <c r="L90" s="751">
        <f t="shared" si="13"/>
        <v>0</v>
      </c>
      <c r="M90" s="751">
        <f>SUM(M87:M89)</f>
        <v>0</v>
      </c>
      <c r="N90" s="751">
        <f>SUM(N87:N89)</f>
        <v>0</v>
      </c>
      <c r="O90" s="751">
        <f>SUM(O87:O89)</f>
        <v>0</v>
      </c>
      <c r="P90" s="751">
        <v>0</v>
      </c>
      <c r="Q90" s="751">
        <f>SUM(Q87:Q89)</f>
        <v>216.61222759655297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18237.737064698198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14138.5</v>
      </c>
      <c r="C8" s="551">
        <f>B50</f>
        <v>750.63521259399829</v>
      </c>
      <c r="D8" s="552"/>
      <c r="E8" s="552">
        <f>E50</f>
        <v>0</v>
      </c>
      <c r="F8" s="553"/>
      <c r="G8" s="554"/>
      <c r="H8" s="552">
        <f>I50</f>
        <v>0</v>
      </c>
      <c r="I8" s="552">
        <f>G50+F50</f>
        <v>0</v>
      </c>
      <c r="J8" s="552">
        <f>H50+D50+C50</f>
        <v>15882.337760910816</v>
      </c>
      <c r="K8" s="552"/>
      <c r="L8" s="552"/>
      <c r="M8" s="552"/>
      <c r="N8" s="555"/>
      <c r="O8" s="556">
        <f>C8*$C$12+D8*$D$12+E8*$E$12+F8*$F$12+G8*$G$12+H8*$H$12+I8*$I$12+J8*$J$12</f>
        <v>151.62831294398765</v>
      </c>
      <c r="P8" s="1256"/>
      <c r="Q8" s="1257"/>
      <c r="S8" s="546"/>
      <c r="T8" s="1244"/>
      <c r="U8" s="1244"/>
    </row>
    <row r="9" spans="1:21" s="537" customFormat="1" ht="17.45" customHeight="1" thickBot="1">
      <c r="A9" s="557" t="s">
        <v>247</v>
      </c>
      <c r="B9" s="558">
        <f>N38+'Eigen informatie GS &amp; warmtenet'!B12</f>
        <v>14332.5</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46708.737064698202</v>
      </c>
      <c r="C10" s="566">
        <f t="shared" ref="C10:L10" si="0">SUM(C8:C9)</f>
        <v>750.63521259399829</v>
      </c>
      <c r="D10" s="566">
        <f t="shared" si="0"/>
        <v>0</v>
      </c>
      <c r="E10" s="566">
        <f t="shared" si="0"/>
        <v>0</v>
      </c>
      <c r="F10" s="566">
        <f t="shared" si="0"/>
        <v>0</v>
      </c>
      <c r="G10" s="566">
        <f t="shared" si="0"/>
        <v>0</v>
      </c>
      <c r="H10" s="566">
        <f t="shared" si="0"/>
        <v>0</v>
      </c>
      <c r="I10" s="566">
        <f t="shared" si="0"/>
        <v>0</v>
      </c>
      <c r="J10" s="566">
        <f t="shared" si="0"/>
        <v>56832.337760910814</v>
      </c>
      <c r="K10" s="566">
        <f t="shared" si="0"/>
        <v>0</v>
      </c>
      <c r="L10" s="566">
        <f t="shared" si="0"/>
        <v>0</v>
      </c>
      <c r="M10" s="969"/>
      <c r="N10" s="969"/>
      <c r="O10" s="567">
        <f>SUM(O4:O9)</f>
        <v>151.62831294398765</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20197.889961389963</v>
      </c>
      <c r="C17" s="582">
        <f>B51</f>
        <v>1072.337760378975</v>
      </c>
      <c r="D17" s="583"/>
      <c r="E17" s="583">
        <f>E51</f>
        <v>0</v>
      </c>
      <c r="F17" s="584"/>
      <c r="G17" s="585"/>
      <c r="H17" s="582">
        <f>I51</f>
        <v>0</v>
      </c>
      <c r="I17" s="583">
        <f>G51+F51</f>
        <v>0</v>
      </c>
      <c r="J17" s="583">
        <f>H51+D51+C51</f>
        <v>22689.090810517755</v>
      </c>
      <c r="K17" s="583"/>
      <c r="L17" s="583"/>
      <c r="M17" s="583"/>
      <c r="N17" s="970"/>
      <c r="O17" s="586">
        <f>C17*$C$22+E17*$E$22+H17*$H$22+I17*$I$22+J17*$J$22+D17*$D$22+F17*$F$22+G17*$G$22+K17*$K$22+L17*$L$22</f>
        <v>216.61222759655297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20197.889961389963</v>
      </c>
      <c r="C20" s="565">
        <f>SUM(C17:C19)</f>
        <v>1072.337760378975</v>
      </c>
      <c r="D20" s="565">
        <f t="shared" ref="D20:L20" si="1">SUM(D17:D19)</f>
        <v>0</v>
      </c>
      <c r="E20" s="565">
        <f t="shared" si="1"/>
        <v>0</v>
      </c>
      <c r="F20" s="565">
        <f t="shared" si="1"/>
        <v>0</v>
      </c>
      <c r="G20" s="565">
        <f t="shared" si="1"/>
        <v>0</v>
      </c>
      <c r="H20" s="565">
        <f t="shared" si="1"/>
        <v>0</v>
      </c>
      <c r="I20" s="565">
        <f t="shared" si="1"/>
        <v>0</v>
      </c>
      <c r="J20" s="565">
        <f t="shared" si="1"/>
        <v>22689.090810517755</v>
      </c>
      <c r="K20" s="565">
        <f t="shared" si="1"/>
        <v>0</v>
      </c>
      <c r="L20" s="565">
        <f t="shared" si="1"/>
        <v>0</v>
      </c>
      <c r="M20" s="565"/>
      <c r="N20" s="565"/>
      <c r="O20" s="591">
        <f>SUM(O17:O19)</f>
        <v>216.61222759655297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72039</v>
      </c>
      <c r="C28" s="794">
        <v>3530</v>
      </c>
      <c r="D28" s="643" t="s">
        <v>865</v>
      </c>
      <c r="E28" s="642" t="s">
        <v>866</v>
      </c>
      <c r="F28" s="642" t="s">
        <v>867</v>
      </c>
      <c r="G28" s="642" t="s">
        <v>868</v>
      </c>
      <c r="H28" s="642" t="s">
        <v>869</v>
      </c>
      <c r="I28" s="642" t="s">
        <v>866</v>
      </c>
      <c r="J28" s="793">
        <v>39532</v>
      </c>
      <c r="K28" s="793">
        <v>39609</v>
      </c>
      <c r="L28" s="642" t="s">
        <v>870</v>
      </c>
      <c r="M28" s="642">
        <v>3000</v>
      </c>
      <c r="N28" s="642">
        <v>13500</v>
      </c>
      <c r="O28" s="642">
        <v>19285.714285714286</v>
      </c>
      <c r="P28" s="642">
        <v>0</v>
      </c>
      <c r="Q28" s="642">
        <v>38571.428571428572</v>
      </c>
      <c r="R28" s="642">
        <v>0</v>
      </c>
      <c r="S28" s="642">
        <v>0</v>
      </c>
      <c r="T28" s="642">
        <v>0</v>
      </c>
      <c r="U28" s="642">
        <v>0</v>
      </c>
      <c r="V28" s="642">
        <v>0</v>
      </c>
      <c r="W28" s="642">
        <v>0</v>
      </c>
      <c r="X28" s="642">
        <v>10</v>
      </c>
      <c r="Y28" s="642" t="s">
        <v>111</v>
      </c>
      <c r="Z28" s="644" t="s">
        <v>111</v>
      </c>
    </row>
    <row r="29" spans="1:26" s="596" customFormat="1" ht="38.25">
      <c r="A29" s="595"/>
      <c r="B29" s="794">
        <v>72039</v>
      </c>
      <c r="C29" s="794">
        <v>3530</v>
      </c>
      <c r="D29" s="643" t="s">
        <v>871</v>
      </c>
      <c r="E29" s="642" t="s">
        <v>872</v>
      </c>
      <c r="F29" s="642" t="s">
        <v>873</v>
      </c>
      <c r="G29" s="642" t="s">
        <v>868</v>
      </c>
      <c r="H29" s="642" t="s">
        <v>869</v>
      </c>
      <c r="I29" s="642" t="s">
        <v>872</v>
      </c>
      <c r="J29" s="793">
        <v>41561</v>
      </c>
      <c r="K29" s="793">
        <v>41428</v>
      </c>
      <c r="L29" s="642" t="s">
        <v>870</v>
      </c>
      <c r="M29" s="642">
        <v>140</v>
      </c>
      <c r="N29" s="642">
        <v>630.00000000000011</v>
      </c>
      <c r="O29" s="642">
        <v>900.00000000000023</v>
      </c>
      <c r="P29" s="642">
        <v>1800.0000000000005</v>
      </c>
      <c r="Q29" s="642">
        <v>0</v>
      </c>
      <c r="R29" s="642">
        <v>0</v>
      </c>
      <c r="S29" s="642">
        <v>0</v>
      </c>
      <c r="T29" s="642">
        <v>0</v>
      </c>
      <c r="U29" s="642">
        <v>0</v>
      </c>
      <c r="V29" s="642">
        <v>0</v>
      </c>
      <c r="W29" s="642">
        <v>0</v>
      </c>
      <c r="X29" s="642">
        <v>800</v>
      </c>
      <c r="Y29" s="642" t="s">
        <v>35</v>
      </c>
      <c r="Z29" s="644" t="s">
        <v>385</v>
      </c>
    </row>
    <row r="30" spans="1:26" s="596" customFormat="1" ht="12.75">
      <c r="A30" s="595"/>
      <c r="B30" s="794">
        <v>72039</v>
      </c>
      <c r="C30" s="794">
        <v>3530</v>
      </c>
      <c r="D30" s="643" t="s">
        <v>874</v>
      </c>
      <c r="E30" s="642"/>
      <c r="F30" s="642" t="s">
        <v>875</v>
      </c>
      <c r="G30" s="642" t="s">
        <v>876</v>
      </c>
      <c r="H30" s="642" t="s">
        <v>877</v>
      </c>
      <c r="I30" s="642" t="s">
        <v>878</v>
      </c>
      <c r="J30" s="793">
        <v>42818</v>
      </c>
      <c r="K30" s="793">
        <v>42818</v>
      </c>
      <c r="L30" s="642" t="s">
        <v>879</v>
      </c>
      <c r="M30" s="642">
        <v>1.7</v>
      </c>
      <c r="N30" s="642">
        <v>8.5</v>
      </c>
      <c r="O30" s="642">
        <v>12.175675675675675</v>
      </c>
      <c r="P30" s="642">
        <v>22.972972972972972</v>
      </c>
      <c r="Q30" s="642">
        <v>0</v>
      </c>
      <c r="R30" s="642">
        <v>0</v>
      </c>
      <c r="S30" s="642">
        <v>0</v>
      </c>
      <c r="T30" s="642">
        <v>0</v>
      </c>
      <c r="U30" s="642">
        <v>0</v>
      </c>
      <c r="V30" s="642">
        <v>0</v>
      </c>
      <c r="W30" s="642">
        <v>0</v>
      </c>
      <c r="X30" s="642">
        <v>1100</v>
      </c>
      <c r="Y30" s="642" t="s">
        <v>160</v>
      </c>
      <c r="Z30" s="644" t="s">
        <v>155</v>
      </c>
    </row>
    <row r="31" spans="1:26" s="576" customFormat="1">
      <c r="A31" s="598" t="s">
        <v>279</v>
      </c>
      <c r="B31" s="599"/>
      <c r="C31" s="599"/>
      <c r="D31" s="599"/>
      <c r="E31" s="599"/>
      <c r="F31" s="599"/>
      <c r="G31" s="599"/>
      <c r="H31" s="599"/>
      <c r="I31" s="599"/>
      <c r="J31" s="599"/>
      <c r="K31" s="599"/>
      <c r="L31" s="600"/>
      <c r="M31" s="600">
        <f>SUM(M28:M30)</f>
        <v>3141.7</v>
      </c>
      <c r="N31" s="600">
        <f>SUM(N28:N30)</f>
        <v>14138.5</v>
      </c>
      <c r="O31" s="600">
        <f>SUM(O28:O30)</f>
        <v>20197.889961389963</v>
      </c>
      <c r="P31" s="600">
        <f>SUM(P28:P30)</f>
        <v>1822.9729729729734</v>
      </c>
      <c r="Q31" s="600">
        <f>SUM(Q28:Q30)</f>
        <v>38571.428571428572</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140</v>
      </c>
      <c r="N32" s="600">
        <f>SUMIF($Z$28:$Z$30,"industrie",N28:N30)</f>
        <v>630.00000000000011</v>
      </c>
      <c r="O32" s="600">
        <f>SUMIF($Z$28:$Z$30,"industrie",O28:O30)</f>
        <v>900.00000000000023</v>
      </c>
      <c r="P32" s="600">
        <f>SUMIF($Z$28:$Z$30,"industrie",P28:P30)</f>
        <v>1800.0000000000005</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1.7</v>
      </c>
      <c r="N33" s="600">
        <f ca="1">SUMIF($Z$28:AD30,"tertiair",N28:N30)</f>
        <v>8.5</v>
      </c>
      <c r="O33" s="600">
        <f ca="1">SUMIF($Z$28:AE30,"tertiair",O28:O30)</f>
        <v>12.175675675675675</v>
      </c>
      <c r="P33" s="600">
        <f ca="1">SUMIF($Z$28:AF30,"tertiair",P28:P30)</f>
        <v>22.972972972972972</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3000</v>
      </c>
      <c r="N34" s="605">
        <f>SUMIF($Z$28:$Z$30,"landbouw",N28:N30)</f>
        <v>13500</v>
      </c>
      <c r="O34" s="605">
        <f>SUMIF($Z$28:$Z$30,"landbouw",O28:O30)</f>
        <v>19285.714285714286</v>
      </c>
      <c r="P34" s="605">
        <f>SUMIF($Z$28:$Z$30,"landbouw",P28:P30)</f>
        <v>0</v>
      </c>
      <c r="Q34" s="605">
        <f>SUMIF($Z$28:$Z$30,"landbouw",Q28:Q30)</f>
        <v>38571.428571428572</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63.75">
      <c r="A37" s="597"/>
      <c r="B37" s="794">
        <v>72039</v>
      </c>
      <c r="C37" s="794">
        <v>3530</v>
      </c>
      <c r="D37" s="645" t="s">
        <v>880</v>
      </c>
      <c r="E37" s="645" t="s">
        <v>881</v>
      </c>
      <c r="F37" s="645" t="s">
        <v>882</v>
      </c>
      <c r="G37" s="645" t="s">
        <v>883</v>
      </c>
      <c r="H37" s="645" t="s">
        <v>884</v>
      </c>
      <c r="I37" s="645" t="s">
        <v>885</v>
      </c>
      <c r="J37" s="793">
        <v>36658</v>
      </c>
      <c r="K37" s="793">
        <v>37257</v>
      </c>
      <c r="L37" s="645" t="s">
        <v>870</v>
      </c>
      <c r="M37" s="645">
        <v>3185</v>
      </c>
      <c r="N37" s="645">
        <v>14332.5</v>
      </c>
      <c r="O37" s="645">
        <v>0</v>
      </c>
      <c r="P37" s="645">
        <v>0</v>
      </c>
      <c r="Q37" s="645">
        <v>0</v>
      </c>
      <c r="R37" s="645">
        <v>40950</v>
      </c>
      <c r="S37" s="645">
        <v>0</v>
      </c>
      <c r="T37" s="645">
        <v>0</v>
      </c>
      <c r="U37" s="645">
        <v>0</v>
      </c>
      <c r="V37" s="645">
        <v>0</v>
      </c>
      <c r="W37" s="645">
        <v>0</v>
      </c>
      <c r="X37" s="645">
        <v>1600</v>
      </c>
      <c r="Y37" s="645" t="s">
        <v>49</v>
      </c>
      <c r="Z37" s="646" t="s">
        <v>155</v>
      </c>
    </row>
    <row r="38" spans="1:27" s="576" customFormat="1">
      <c r="A38" s="598" t="s">
        <v>279</v>
      </c>
      <c r="B38" s="599"/>
      <c r="C38" s="599"/>
      <c r="D38" s="599"/>
      <c r="E38" s="599"/>
      <c r="F38" s="599"/>
      <c r="G38" s="599"/>
      <c r="H38" s="599"/>
      <c r="I38" s="599"/>
      <c r="J38" s="599"/>
      <c r="K38" s="599"/>
      <c r="L38" s="600"/>
      <c r="M38" s="600">
        <f>SUM(M37:M37)</f>
        <v>3185</v>
      </c>
      <c r="N38" s="600">
        <f>SUM(N37:N37)</f>
        <v>14332.5</v>
      </c>
      <c r="O38" s="600">
        <f>SUM(O37:O37)</f>
        <v>0</v>
      </c>
      <c r="P38" s="600">
        <f>SUM(P37:P37)</f>
        <v>0</v>
      </c>
      <c r="Q38" s="600">
        <f>SUM(Q37:Q37)</f>
        <v>0</v>
      </c>
      <c r="R38" s="600">
        <f>SUM(R37:R37)</f>
        <v>40950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3185</v>
      </c>
      <c r="N40" s="600">
        <f>SUMIF($Z$37:$Z$38,"tertiair",N37:N38)</f>
        <v>14332.5</v>
      </c>
      <c r="O40" s="600">
        <f>SUMIF($Z$37:$Z$38,"tertiair",O37:O38)</f>
        <v>0</v>
      </c>
      <c r="P40" s="600">
        <f>SUMIF($Z$37:$Z$38,"tertiair",P37:P38)</f>
        <v>0</v>
      </c>
      <c r="Q40" s="600">
        <f>SUMIF($Z$37:$Z$38,"tertiair",Q37:Q38)</f>
        <v>0</v>
      </c>
      <c r="R40" s="600">
        <f>SUMIF($Z$37:$Z$38,"tertiair",R37:R38)</f>
        <v>40950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0.58823568768008994</v>
      </c>
      <c r="C47" s="625">
        <f>IF(ISERROR(N31/(O31+N31)),0,N31/(N31+O31))</f>
        <v>0.41176431231991001</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750.63521259399829</v>
      </c>
      <c r="C50" s="634">
        <f t="shared" si="2"/>
        <v>15882.337760910816</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1072.337760378975</v>
      </c>
      <c r="C51" s="637">
        <f t="shared" si="3"/>
        <v>22689.090810517755</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46870.424255386635</v>
      </c>
      <c r="C4" s="455">
        <f>huishoudens!C8</f>
        <v>0</v>
      </c>
      <c r="D4" s="455">
        <f>huishoudens!D8</f>
        <v>88352.670714189459</v>
      </c>
      <c r="E4" s="455">
        <f>huishoudens!E8</f>
        <v>7434.4922763006925</v>
      </c>
      <c r="F4" s="455">
        <f>huishoudens!F8</f>
        <v>62095.901114518769</v>
      </c>
      <c r="G4" s="455">
        <f>huishoudens!G8</f>
        <v>0</v>
      </c>
      <c r="H4" s="455">
        <f>huishoudens!H8</f>
        <v>0</v>
      </c>
      <c r="I4" s="455">
        <f>huishoudens!I8</f>
        <v>0</v>
      </c>
      <c r="J4" s="455">
        <f>huishoudens!J8</f>
        <v>0</v>
      </c>
      <c r="K4" s="455">
        <f>huishoudens!K8</f>
        <v>0</v>
      </c>
      <c r="L4" s="455">
        <f>huishoudens!L8</f>
        <v>0</v>
      </c>
      <c r="M4" s="455">
        <f>huishoudens!M8</f>
        <v>0</v>
      </c>
      <c r="N4" s="455">
        <f>huishoudens!N8</f>
        <v>30482.474433197167</v>
      </c>
      <c r="O4" s="455">
        <f>huishoudens!O8</f>
        <v>942.38015420884005</v>
      </c>
      <c r="P4" s="456">
        <f>huishoudens!P8</f>
        <v>948.05633769165206</v>
      </c>
      <c r="Q4" s="457">
        <f>SUM(B4:P4)</f>
        <v>237126.39928549324</v>
      </c>
    </row>
    <row r="5" spans="1:17">
      <c r="A5" s="454" t="s">
        <v>155</v>
      </c>
      <c r="B5" s="455">
        <f ca="1">tertiair!B16</f>
        <v>64406.668067000006</v>
      </c>
      <c r="C5" s="455">
        <f ca="1">tertiair!C16</f>
        <v>12.175675675675675</v>
      </c>
      <c r="D5" s="455">
        <f ca="1">tertiair!D16</f>
        <v>51917.88359660803</v>
      </c>
      <c r="E5" s="455">
        <f>tertiair!E16</f>
        <v>376.80878347912744</v>
      </c>
      <c r="F5" s="455">
        <f ca="1">tertiair!F16</f>
        <v>16522.081297299355</v>
      </c>
      <c r="G5" s="455">
        <f>tertiair!G16</f>
        <v>0</v>
      </c>
      <c r="H5" s="455">
        <f>tertiair!H16</f>
        <v>0</v>
      </c>
      <c r="I5" s="455">
        <f>tertiair!I16</f>
        <v>0</v>
      </c>
      <c r="J5" s="455">
        <f>tertiair!J16</f>
        <v>0.23272588894036103</v>
      </c>
      <c r="K5" s="455">
        <f>tertiair!K16</f>
        <v>0</v>
      </c>
      <c r="L5" s="455">
        <f ca="1">tertiair!L16</f>
        <v>0</v>
      </c>
      <c r="M5" s="455">
        <f>tertiair!M16</f>
        <v>0</v>
      </c>
      <c r="N5" s="455">
        <f ca="1">tertiair!N16</f>
        <v>0</v>
      </c>
      <c r="O5" s="455">
        <f>tertiair!O16</f>
        <v>9.7945215316823084</v>
      </c>
      <c r="P5" s="456">
        <f>tertiair!P16</f>
        <v>262.69569153247511</v>
      </c>
      <c r="Q5" s="454">
        <f t="shared" ref="Q5:Q14" ca="1" si="0">SUM(B5:P5)</f>
        <v>133508.34035901527</v>
      </c>
    </row>
    <row r="6" spans="1:17">
      <c r="A6" s="454" t="s">
        <v>193</v>
      </c>
      <c r="B6" s="455">
        <f>'openbare verlichting'!B8</f>
        <v>1770.3344320000001</v>
      </c>
      <c r="C6" s="455"/>
      <c r="D6" s="455"/>
      <c r="E6" s="455"/>
      <c r="F6" s="455"/>
      <c r="G6" s="455"/>
      <c r="H6" s="455"/>
      <c r="I6" s="455"/>
      <c r="J6" s="455"/>
      <c r="K6" s="455"/>
      <c r="L6" s="455"/>
      <c r="M6" s="455"/>
      <c r="N6" s="455"/>
      <c r="O6" s="455"/>
      <c r="P6" s="456"/>
      <c r="Q6" s="454">
        <f t="shared" si="0"/>
        <v>1770.3344320000001</v>
      </c>
    </row>
    <row r="7" spans="1:17">
      <c r="A7" s="454" t="s">
        <v>111</v>
      </c>
      <c r="B7" s="455">
        <f>landbouw!B8</f>
        <v>340.22433100000001</v>
      </c>
      <c r="C7" s="455">
        <f>landbouw!C8</f>
        <v>19285.714285714286</v>
      </c>
      <c r="D7" s="455">
        <f>landbouw!D8</f>
        <v>37.213811123999996</v>
      </c>
      <c r="E7" s="455">
        <f>landbouw!E8</f>
        <v>12.688005974981383</v>
      </c>
      <c r="F7" s="455">
        <f>landbouw!F8</f>
        <v>1103.819197620476</v>
      </c>
      <c r="G7" s="455">
        <f>landbouw!G8</f>
        <v>0</v>
      </c>
      <c r="H7" s="455">
        <f>landbouw!H8</f>
        <v>0</v>
      </c>
      <c r="I7" s="455">
        <f>landbouw!I8</f>
        <v>0</v>
      </c>
      <c r="J7" s="455">
        <f>landbouw!J8</f>
        <v>89.310566543426745</v>
      </c>
      <c r="K7" s="455">
        <f>landbouw!K8</f>
        <v>0</v>
      </c>
      <c r="L7" s="455">
        <f>landbouw!L8</f>
        <v>0</v>
      </c>
      <c r="M7" s="455">
        <f>landbouw!M8</f>
        <v>0</v>
      </c>
      <c r="N7" s="455">
        <f>landbouw!N8</f>
        <v>0</v>
      </c>
      <c r="O7" s="455">
        <f>landbouw!O8</f>
        <v>0</v>
      </c>
      <c r="P7" s="456">
        <f>landbouw!P8</f>
        <v>0</v>
      </c>
      <c r="Q7" s="454">
        <f t="shared" si="0"/>
        <v>20868.970197977171</v>
      </c>
    </row>
    <row r="8" spans="1:17">
      <c r="A8" s="454" t="s">
        <v>626</v>
      </c>
      <c r="B8" s="455">
        <f>industrie!B18</f>
        <v>25623.841212000003</v>
      </c>
      <c r="C8" s="455">
        <f>industrie!C18</f>
        <v>900.00000000000023</v>
      </c>
      <c r="D8" s="455">
        <f>industrie!D18</f>
        <v>25339.234220238002</v>
      </c>
      <c r="E8" s="455">
        <f>industrie!E18</f>
        <v>104.5298112157332</v>
      </c>
      <c r="F8" s="455">
        <f>industrie!F18</f>
        <v>5103.8517713751153</v>
      </c>
      <c r="G8" s="455">
        <f>industrie!G18</f>
        <v>0</v>
      </c>
      <c r="H8" s="455">
        <f>industrie!H18</f>
        <v>0</v>
      </c>
      <c r="I8" s="455">
        <f>industrie!I18</f>
        <v>0</v>
      </c>
      <c r="J8" s="455">
        <f>industrie!J18</f>
        <v>11.177705503307706</v>
      </c>
      <c r="K8" s="455">
        <f>industrie!K18</f>
        <v>0</v>
      </c>
      <c r="L8" s="455">
        <f>industrie!L18</f>
        <v>0</v>
      </c>
      <c r="M8" s="455">
        <f>industrie!M18</f>
        <v>0</v>
      </c>
      <c r="N8" s="455">
        <f>industrie!N18</f>
        <v>1179.0272567768875</v>
      </c>
      <c r="O8" s="455">
        <f>industrie!O18</f>
        <v>0</v>
      </c>
      <c r="P8" s="456">
        <f>industrie!P18</f>
        <v>0</v>
      </c>
      <c r="Q8" s="454">
        <f t="shared" si="0"/>
        <v>58261.661977109048</v>
      </c>
    </row>
    <row r="9" spans="1:17" s="460" customFormat="1">
      <c r="A9" s="458" t="s">
        <v>552</v>
      </c>
      <c r="B9" s="459">
        <f>transport!B14</f>
        <v>165.51088692780712</v>
      </c>
      <c r="C9" s="459">
        <f>transport!C14</f>
        <v>0</v>
      </c>
      <c r="D9" s="459">
        <f>transport!D14</f>
        <v>684.68169713793895</v>
      </c>
      <c r="E9" s="459">
        <f>transport!E14</f>
        <v>382.03504919467719</v>
      </c>
      <c r="F9" s="459">
        <f>transport!F14</f>
        <v>0</v>
      </c>
      <c r="G9" s="459">
        <f>transport!G14</f>
        <v>167696.43313619113</v>
      </c>
      <c r="H9" s="459">
        <f>transport!H14</f>
        <v>43943.650916892031</v>
      </c>
      <c r="I9" s="459">
        <f>transport!I14</f>
        <v>0</v>
      </c>
      <c r="J9" s="459">
        <f>transport!J14</f>
        <v>0</v>
      </c>
      <c r="K9" s="459">
        <f>transport!K14</f>
        <v>0</v>
      </c>
      <c r="L9" s="459">
        <f>transport!L14</f>
        <v>0</v>
      </c>
      <c r="M9" s="459">
        <f>transport!M14</f>
        <v>12496.355337968322</v>
      </c>
      <c r="N9" s="459">
        <f>transport!N14</f>
        <v>0</v>
      </c>
      <c r="O9" s="459">
        <f>transport!O14</f>
        <v>0</v>
      </c>
      <c r="P9" s="459">
        <f>transport!P14</f>
        <v>0</v>
      </c>
      <c r="Q9" s="458">
        <f>SUM(B9:P9)</f>
        <v>225368.6670243119</v>
      </c>
    </row>
    <row r="10" spans="1:17">
      <c r="A10" s="454" t="s">
        <v>542</v>
      </c>
      <c r="B10" s="455">
        <f>transport!B54</f>
        <v>0</v>
      </c>
      <c r="C10" s="455">
        <f>transport!C54</f>
        <v>0</v>
      </c>
      <c r="D10" s="455">
        <f>transport!D54</f>
        <v>0</v>
      </c>
      <c r="E10" s="455">
        <f>transport!E54</f>
        <v>0</v>
      </c>
      <c r="F10" s="455">
        <f>transport!F54</f>
        <v>0</v>
      </c>
      <c r="G10" s="455">
        <f>transport!G54</f>
        <v>3591.9026993067528</v>
      </c>
      <c r="H10" s="455">
        <f>transport!H54</f>
        <v>0</v>
      </c>
      <c r="I10" s="455">
        <f>transport!I54</f>
        <v>0</v>
      </c>
      <c r="J10" s="455">
        <f>transport!J54</f>
        <v>0</v>
      </c>
      <c r="K10" s="455">
        <f>transport!K54</f>
        <v>0</v>
      </c>
      <c r="L10" s="455">
        <f>transport!L54</f>
        <v>0</v>
      </c>
      <c r="M10" s="455">
        <f>transport!M54</f>
        <v>194.91709846355459</v>
      </c>
      <c r="N10" s="455">
        <f>transport!N54</f>
        <v>0</v>
      </c>
      <c r="O10" s="455">
        <f>transport!O54</f>
        <v>0</v>
      </c>
      <c r="P10" s="456">
        <f>transport!P54</f>
        <v>0</v>
      </c>
      <c r="Q10" s="454">
        <f t="shared" si="0"/>
        <v>3786.8197977703076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5018.4772649999995</v>
      </c>
      <c r="C14" s="462"/>
      <c r="D14" s="462">
        <f>'SEAP template'!E25</f>
        <v>1968.964318</v>
      </c>
      <c r="E14" s="462"/>
      <c r="F14" s="462"/>
      <c r="G14" s="462"/>
      <c r="H14" s="462"/>
      <c r="I14" s="462"/>
      <c r="J14" s="462"/>
      <c r="K14" s="462"/>
      <c r="L14" s="462"/>
      <c r="M14" s="462"/>
      <c r="N14" s="462"/>
      <c r="O14" s="462"/>
      <c r="P14" s="463"/>
      <c r="Q14" s="454">
        <f t="shared" si="0"/>
        <v>6987.4415829999998</v>
      </c>
    </row>
    <row r="15" spans="1:17" s="466" customFormat="1">
      <c r="A15" s="464" t="s">
        <v>546</v>
      </c>
      <c r="B15" s="465">
        <f ca="1">SUM(B4:B14)</f>
        <v>144195.48044931446</v>
      </c>
      <c r="C15" s="465">
        <f t="shared" ref="C15:Q15" ca="1" si="1">SUM(C4:C14)</f>
        <v>20197.889961389963</v>
      </c>
      <c r="D15" s="465">
        <f t="shared" ca="1" si="1"/>
        <v>168300.64835729744</v>
      </c>
      <c r="E15" s="465">
        <f t="shared" si="1"/>
        <v>8310.553926165212</v>
      </c>
      <c r="F15" s="465">
        <f t="shared" ca="1" si="1"/>
        <v>84825.653380813717</v>
      </c>
      <c r="G15" s="465">
        <f t="shared" si="1"/>
        <v>171288.33583549788</v>
      </c>
      <c r="H15" s="465">
        <f t="shared" si="1"/>
        <v>43943.650916892031</v>
      </c>
      <c r="I15" s="465">
        <f t="shared" si="1"/>
        <v>0</v>
      </c>
      <c r="J15" s="465">
        <f t="shared" si="1"/>
        <v>100.72099793567482</v>
      </c>
      <c r="K15" s="465">
        <f t="shared" si="1"/>
        <v>0</v>
      </c>
      <c r="L15" s="465">
        <f t="shared" ca="1" si="1"/>
        <v>0</v>
      </c>
      <c r="M15" s="465">
        <f t="shared" si="1"/>
        <v>12691.272436431876</v>
      </c>
      <c r="N15" s="465">
        <f t="shared" ca="1" si="1"/>
        <v>31661.501689974055</v>
      </c>
      <c r="O15" s="465">
        <f t="shared" si="1"/>
        <v>952.17467574052239</v>
      </c>
      <c r="P15" s="465">
        <f t="shared" si="1"/>
        <v>1210.7520292241272</v>
      </c>
      <c r="Q15" s="465">
        <f t="shared" ca="1" si="1"/>
        <v>687678.63465667691</v>
      </c>
    </row>
    <row r="17" spans="1:17">
      <c r="A17" s="467" t="s">
        <v>547</v>
      </c>
      <c r="B17" s="784">
        <f ca="1">huishoudens!B10</f>
        <v>0.15046379077443084</v>
      </c>
      <c r="C17" s="784">
        <f ca="1">huishoudens!C10</f>
        <v>1.0724497856490269E-2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7052.3017086713035</v>
      </c>
      <c r="C22" s="455">
        <f t="shared" ref="C22:C32" ca="1" si="3">C4*$C$17</f>
        <v>0</v>
      </c>
      <c r="D22" s="455">
        <f t="shared" ref="D22:D32" si="4">D4*$D$17</f>
        <v>17847.239484266272</v>
      </c>
      <c r="E22" s="455">
        <f t="shared" ref="E22:E32" si="5">E4*$E$17</f>
        <v>1687.6297467202573</v>
      </c>
      <c r="F22" s="455">
        <f t="shared" ref="F22:F32" si="6">F4*$F$17</f>
        <v>16579.605597576512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43166.776537234342</v>
      </c>
    </row>
    <row r="23" spans="1:17">
      <c r="A23" s="454" t="s">
        <v>155</v>
      </c>
      <c r="B23" s="455">
        <f t="shared" ca="1" si="2"/>
        <v>9690.8714285113056</v>
      </c>
      <c r="C23" s="455">
        <f t="shared" ca="1" si="3"/>
        <v>0.1305780076851045</v>
      </c>
      <c r="D23" s="455">
        <f t="shared" ca="1" si="4"/>
        <v>10487.412486514822</v>
      </c>
      <c r="E23" s="455">
        <f t="shared" si="5"/>
        <v>85.535593849761938</v>
      </c>
      <c r="F23" s="455">
        <f t="shared" ca="1" si="6"/>
        <v>4411.3957063789285</v>
      </c>
      <c r="G23" s="455">
        <f t="shared" si="7"/>
        <v>0</v>
      </c>
      <c r="H23" s="455">
        <f t="shared" si="8"/>
        <v>0</v>
      </c>
      <c r="I23" s="455">
        <f t="shared" si="9"/>
        <v>0</v>
      </c>
      <c r="J23" s="455">
        <f t="shared" si="10"/>
        <v>8.2384964684887804E-2</v>
      </c>
      <c r="K23" s="455">
        <f t="shared" si="11"/>
        <v>0</v>
      </c>
      <c r="L23" s="455">
        <f t="shared" ca="1" si="12"/>
        <v>0</v>
      </c>
      <c r="M23" s="455">
        <f t="shared" si="13"/>
        <v>0</v>
      </c>
      <c r="N23" s="455">
        <f t="shared" ca="1" si="14"/>
        <v>0</v>
      </c>
      <c r="O23" s="455">
        <f t="shared" si="15"/>
        <v>0</v>
      </c>
      <c r="P23" s="456">
        <f t="shared" si="16"/>
        <v>0</v>
      </c>
      <c r="Q23" s="454">
        <f t="shared" ref="Q23:Q31" ca="1" si="17">SUM(B23:P23)</f>
        <v>24675.42817822719</v>
      </c>
    </row>
    <row r="24" spans="1:17">
      <c r="A24" s="454" t="s">
        <v>193</v>
      </c>
      <c r="B24" s="455">
        <f t="shared" ca="1" si="2"/>
        <v>266.37122957721886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266.37122957721886</v>
      </c>
    </row>
    <row r="25" spans="1:17">
      <c r="A25" s="454" t="s">
        <v>111</v>
      </c>
      <c r="B25" s="455">
        <f t="shared" ca="1" si="2"/>
        <v>51.191442555954708</v>
      </c>
      <c r="C25" s="455">
        <f t="shared" ca="1" si="3"/>
        <v>206.82960151802661</v>
      </c>
      <c r="D25" s="455">
        <f t="shared" si="4"/>
        <v>7.5171898470479999</v>
      </c>
      <c r="E25" s="455">
        <f t="shared" si="5"/>
        <v>2.880177356320774</v>
      </c>
      <c r="F25" s="455">
        <f t="shared" si="6"/>
        <v>294.71972576466709</v>
      </c>
      <c r="G25" s="455">
        <f t="shared" si="7"/>
        <v>0</v>
      </c>
      <c r="H25" s="455">
        <f t="shared" si="8"/>
        <v>0</v>
      </c>
      <c r="I25" s="455">
        <f t="shared" si="9"/>
        <v>0</v>
      </c>
      <c r="J25" s="455">
        <f t="shared" si="10"/>
        <v>31.615940556373065</v>
      </c>
      <c r="K25" s="455">
        <f t="shared" si="11"/>
        <v>0</v>
      </c>
      <c r="L25" s="455">
        <f t="shared" si="12"/>
        <v>0</v>
      </c>
      <c r="M25" s="455">
        <f t="shared" si="13"/>
        <v>0</v>
      </c>
      <c r="N25" s="455">
        <f t="shared" si="14"/>
        <v>0</v>
      </c>
      <c r="O25" s="455">
        <f t="shared" si="15"/>
        <v>0</v>
      </c>
      <c r="P25" s="456">
        <f t="shared" si="16"/>
        <v>0</v>
      </c>
      <c r="Q25" s="454">
        <f t="shared" ca="1" si="17"/>
        <v>594.75407759839027</v>
      </c>
    </row>
    <row r="26" spans="1:17">
      <c r="A26" s="454" t="s">
        <v>626</v>
      </c>
      <c r="B26" s="455">
        <f t="shared" ca="1" si="2"/>
        <v>3855.460282959607</v>
      </c>
      <c r="C26" s="455">
        <f t="shared" ca="1" si="3"/>
        <v>9.6520480708412446</v>
      </c>
      <c r="D26" s="455">
        <f t="shared" si="4"/>
        <v>5118.5253124880765</v>
      </c>
      <c r="E26" s="455">
        <f t="shared" si="5"/>
        <v>23.728267145971436</v>
      </c>
      <c r="F26" s="455">
        <f t="shared" si="6"/>
        <v>1362.7284229571558</v>
      </c>
      <c r="G26" s="455">
        <f t="shared" si="7"/>
        <v>0</v>
      </c>
      <c r="H26" s="455">
        <f t="shared" si="8"/>
        <v>0</v>
      </c>
      <c r="I26" s="455">
        <f t="shared" si="9"/>
        <v>0</v>
      </c>
      <c r="J26" s="455">
        <f t="shared" si="10"/>
        <v>3.9569077481709276</v>
      </c>
      <c r="K26" s="455">
        <f t="shared" si="11"/>
        <v>0</v>
      </c>
      <c r="L26" s="455">
        <f t="shared" si="12"/>
        <v>0</v>
      </c>
      <c r="M26" s="455">
        <f t="shared" si="13"/>
        <v>0</v>
      </c>
      <c r="N26" s="455">
        <f t="shared" si="14"/>
        <v>0</v>
      </c>
      <c r="O26" s="455">
        <f t="shared" si="15"/>
        <v>0</v>
      </c>
      <c r="P26" s="456">
        <f t="shared" si="16"/>
        <v>0</v>
      </c>
      <c r="Q26" s="454">
        <f t="shared" ca="1" si="17"/>
        <v>10374.051241369822</v>
      </c>
    </row>
    <row r="27" spans="1:17" s="460" customFormat="1">
      <c r="A27" s="458" t="s">
        <v>552</v>
      </c>
      <c r="B27" s="778">
        <f t="shared" ca="1" si="2"/>
        <v>24.903395461596052</v>
      </c>
      <c r="C27" s="459">
        <f t="shared" ca="1" si="3"/>
        <v>0</v>
      </c>
      <c r="D27" s="459">
        <f t="shared" si="4"/>
        <v>138.30570282186369</v>
      </c>
      <c r="E27" s="459">
        <f t="shared" si="5"/>
        <v>86.721956167191721</v>
      </c>
      <c r="F27" s="459">
        <f t="shared" si="6"/>
        <v>0</v>
      </c>
      <c r="G27" s="459">
        <f t="shared" si="7"/>
        <v>44774.947647363035</v>
      </c>
      <c r="H27" s="459">
        <f t="shared" si="8"/>
        <v>10941.969078306116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55966.847780119802</v>
      </c>
    </row>
    <row r="28" spans="1:17" ht="16.5" customHeight="1">
      <c r="A28" s="454" t="s">
        <v>542</v>
      </c>
      <c r="B28" s="455">
        <f t="shared" ca="1" si="2"/>
        <v>0</v>
      </c>
      <c r="C28" s="455">
        <f t="shared" ca="1" si="3"/>
        <v>0</v>
      </c>
      <c r="D28" s="455">
        <f t="shared" si="4"/>
        <v>0</v>
      </c>
      <c r="E28" s="455">
        <f t="shared" si="5"/>
        <v>0</v>
      </c>
      <c r="F28" s="455">
        <f t="shared" si="6"/>
        <v>0</v>
      </c>
      <c r="G28" s="455">
        <f t="shared" si="7"/>
        <v>959.03802071490304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959.03802071490304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755.09911320719789</v>
      </c>
      <c r="C32" s="455">
        <f t="shared" ca="1" si="3"/>
        <v>0</v>
      </c>
      <c r="D32" s="455">
        <f t="shared" si="4"/>
        <v>397.73079223600001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1152.829905443198</v>
      </c>
    </row>
    <row r="33" spans="1:17" s="466" customFormat="1">
      <c r="A33" s="464" t="s">
        <v>546</v>
      </c>
      <c r="B33" s="465">
        <f ca="1">SUM(B22:B32)</f>
        <v>21696.198600944186</v>
      </c>
      <c r="C33" s="465">
        <f t="shared" ref="C33:Q33" ca="1" si="19">SUM(C22:C32)</f>
        <v>216.61222759655294</v>
      </c>
      <c r="D33" s="465">
        <f t="shared" ca="1" si="19"/>
        <v>33996.730968174081</v>
      </c>
      <c r="E33" s="465">
        <f t="shared" si="19"/>
        <v>1886.4957412395031</v>
      </c>
      <c r="F33" s="465">
        <f t="shared" ca="1" si="19"/>
        <v>22648.449452677261</v>
      </c>
      <c r="G33" s="465">
        <f t="shared" si="19"/>
        <v>45733.985668077941</v>
      </c>
      <c r="H33" s="465">
        <f t="shared" si="19"/>
        <v>10941.969078306116</v>
      </c>
      <c r="I33" s="465">
        <f t="shared" si="19"/>
        <v>0</v>
      </c>
      <c r="J33" s="465">
        <f t="shared" si="19"/>
        <v>35.65523326922888</v>
      </c>
      <c r="K33" s="465">
        <f t="shared" si="19"/>
        <v>0</v>
      </c>
      <c r="L33" s="465">
        <f t="shared" ca="1" si="19"/>
        <v>0</v>
      </c>
      <c r="M33" s="465">
        <f t="shared" si="19"/>
        <v>0</v>
      </c>
      <c r="N33" s="465">
        <f t="shared" ca="1" si="19"/>
        <v>0</v>
      </c>
      <c r="O33" s="465">
        <f t="shared" si="19"/>
        <v>0</v>
      </c>
      <c r="P33" s="465">
        <f t="shared" si="19"/>
        <v>0</v>
      </c>
      <c r="Q33" s="465">
        <f t="shared" ca="1" si="19"/>
        <v>137156.09697028485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18237.737064698198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13500.43872435398</v>
      </c>
      <c r="C8" s="1026">
        <f>'SEAP template'!C76</f>
        <v>638.06127564601934</v>
      </c>
      <c r="D8" s="1026">
        <f>'SEAP template'!D76</f>
        <v>750.63521259399829</v>
      </c>
      <c r="E8" s="1026">
        <f>'SEAP template'!E76</f>
        <v>0</v>
      </c>
      <c r="F8" s="1026">
        <f>'SEAP template'!F76</f>
        <v>0</v>
      </c>
      <c r="G8" s="1026">
        <f>'SEAP template'!G76</f>
        <v>0</v>
      </c>
      <c r="H8" s="1026">
        <f>'SEAP template'!H76</f>
        <v>0</v>
      </c>
      <c r="I8" s="1026">
        <f>'SEAP template'!I76</f>
        <v>0</v>
      </c>
      <c r="J8" s="1026">
        <f>'SEAP template'!J76</f>
        <v>15882.337760910816</v>
      </c>
      <c r="K8" s="1026">
        <f>'SEAP template'!K76</f>
        <v>0</v>
      </c>
      <c r="L8" s="1026">
        <f>'SEAP template'!L76</f>
        <v>0</v>
      </c>
      <c r="M8" s="1026">
        <f>'SEAP template'!M76</f>
        <v>0</v>
      </c>
      <c r="N8" s="1026">
        <f>'SEAP template'!N76</f>
        <v>0</v>
      </c>
      <c r="O8" s="1026">
        <f>'SEAP template'!O76</f>
        <v>0</v>
      </c>
      <c r="P8" s="1027">
        <f>'SEAP template'!Q76</f>
        <v>151.62831294398765</v>
      </c>
    </row>
    <row r="9" spans="1:16">
      <c r="A9" s="1032" t="s">
        <v>761</v>
      </c>
      <c r="B9" s="1026">
        <f>'SEAP template'!B77</f>
        <v>14332.5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40950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46070.675789052177</v>
      </c>
      <c r="C10" s="1028">
        <f>SUM(C4:C9)</f>
        <v>638.06127564601934</v>
      </c>
      <c r="D10" s="1028">
        <f t="shared" ref="D10:H10" si="0">SUM(D8:D9)</f>
        <v>750.63521259399829</v>
      </c>
      <c r="E10" s="1028">
        <f t="shared" si="0"/>
        <v>0</v>
      </c>
      <c r="F10" s="1028">
        <f t="shared" si="0"/>
        <v>0</v>
      </c>
      <c r="G10" s="1028">
        <f t="shared" si="0"/>
        <v>0</v>
      </c>
      <c r="H10" s="1028">
        <f t="shared" si="0"/>
        <v>0</v>
      </c>
      <c r="I10" s="1028">
        <f>SUM(I8:I9)</f>
        <v>0</v>
      </c>
      <c r="J10" s="1028">
        <f>SUM(J8:J9)</f>
        <v>56832.337760910814</v>
      </c>
      <c r="K10" s="1028">
        <f t="shared" ref="K10:L10" si="1">SUM(K8:K9)</f>
        <v>0</v>
      </c>
      <c r="L10" s="1028">
        <f t="shared" si="1"/>
        <v>0</v>
      </c>
      <c r="M10" s="1028">
        <f>SUM(M8:M9)</f>
        <v>0</v>
      </c>
      <c r="N10" s="1028">
        <f>SUM(N8:N9)</f>
        <v>0</v>
      </c>
      <c r="O10" s="1028">
        <f>SUM(O8:O9)</f>
        <v>0</v>
      </c>
      <c r="P10" s="1028">
        <f>SUM(P8:P9)</f>
        <v>151.62831294398765</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0.15046379077443084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19286.37237224526</v>
      </c>
      <c r="C17" s="1029">
        <f>'SEAP template'!C87</f>
        <v>911.51758914470474</v>
      </c>
      <c r="D17" s="1027">
        <f>'SEAP template'!D87</f>
        <v>1072.337760378975</v>
      </c>
      <c r="E17" s="1027">
        <f>'SEAP template'!E87</f>
        <v>0</v>
      </c>
      <c r="F17" s="1027">
        <f>'SEAP template'!F87</f>
        <v>0</v>
      </c>
      <c r="G17" s="1027">
        <f>'SEAP template'!G87</f>
        <v>0</v>
      </c>
      <c r="H17" s="1027">
        <f>'SEAP template'!H87</f>
        <v>0</v>
      </c>
      <c r="I17" s="1027">
        <f>'SEAP template'!I87</f>
        <v>0</v>
      </c>
      <c r="J17" s="1027">
        <f>'SEAP template'!J87</f>
        <v>22689.090810517755</v>
      </c>
      <c r="K17" s="1027">
        <f>'SEAP template'!K87</f>
        <v>0</v>
      </c>
      <c r="L17" s="1027">
        <f>'SEAP template'!L87</f>
        <v>0</v>
      </c>
      <c r="M17" s="1027">
        <f>'SEAP template'!M87</f>
        <v>0</v>
      </c>
      <c r="N17" s="1027">
        <f>'SEAP template'!N87</f>
        <v>0</v>
      </c>
      <c r="O17" s="1027">
        <f>'SEAP template'!O87</f>
        <v>0</v>
      </c>
      <c r="P17" s="1027">
        <f>'SEAP template'!Q87</f>
        <v>216.61222759655297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19286.37237224526</v>
      </c>
      <c r="C20" s="1028">
        <f>SUM(C17:C19)</f>
        <v>911.51758914470474</v>
      </c>
      <c r="D20" s="1028">
        <f t="shared" ref="D20:H20" si="2">SUM(D17:D19)</f>
        <v>1072.337760378975</v>
      </c>
      <c r="E20" s="1028">
        <f t="shared" si="2"/>
        <v>0</v>
      </c>
      <c r="F20" s="1028">
        <f t="shared" si="2"/>
        <v>0</v>
      </c>
      <c r="G20" s="1028">
        <f t="shared" si="2"/>
        <v>0</v>
      </c>
      <c r="H20" s="1028">
        <f t="shared" si="2"/>
        <v>0</v>
      </c>
      <c r="I20" s="1028">
        <f>SUM(I17:I19)</f>
        <v>0</v>
      </c>
      <c r="J20" s="1028">
        <f>SUM(J17:J19)</f>
        <v>22689.090810517755</v>
      </c>
      <c r="K20" s="1028">
        <f t="shared" ref="K20:L20" si="3">SUM(K17:K19)</f>
        <v>0</v>
      </c>
      <c r="L20" s="1028">
        <f t="shared" si="3"/>
        <v>0</v>
      </c>
      <c r="M20" s="1028">
        <f>SUM(M17:M19)</f>
        <v>0</v>
      </c>
      <c r="N20" s="1028">
        <f>SUM(N17:N19)</f>
        <v>0</v>
      </c>
      <c r="O20" s="1028">
        <f>SUM(O17:O19)</f>
        <v>0</v>
      </c>
      <c r="P20" s="1028">
        <f>SUM(P17:P19)</f>
        <v>216.61222759655297</v>
      </c>
    </row>
    <row r="21" spans="1:16">
      <c r="B21" s="890"/>
    </row>
    <row r="22" spans="1:16">
      <c r="A22" s="467" t="s">
        <v>773</v>
      </c>
      <c r="B22" s="784" t="s">
        <v>771</v>
      </c>
      <c r="C22" s="784">
        <f ca="1">'EF ele_warmte'!B22</f>
        <v>1.0724497856490269E-2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0.15046379077443084</v>
      </c>
      <c r="C17" s="504">
        <f ca="1">'EF ele_warmte'!B22</f>
        <v>1.0724497856490269E-2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2020-06-20T15:26:51Z</dcterms:modified>
</cp:coreProperties>
</file>