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18" i="15"/>
  <c r="C20" i="15" s="1"/>
  <c r="D40" i="14" s="1"/>
  <c r="C17" i="49"/>
  <c r="C22" i="59"/>
  <c r="C17" i="19"/>
  <c r="C19" i="19" s="1"/>
  <c r="D39" i="14" s="1"/>
  <c r="C10" i="13"/>
  <c r="C12" i="13" s="1"/>
  <c r="C29" i="20"/>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<sst xmlns="http://schemas.openxmlformats.org/spreadsheetml/2006/main" count="2375" uniqueCount="871">
  <si>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</si>
  <si>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</si>
  <si>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</si>
  <si>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</si>
  <si>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</si>
  <si>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</si>
  <si>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</si>
  <si>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</si>
  <si>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</si>
  <si>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</si>
  <si>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</si>
  <si>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</si>
  <si>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</si>
  <si>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</si>
  <si>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</si>
  <si>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</si>
  <si>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</si>
  <si>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</si>
  <si>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</si>
  <si>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</si>
  <si>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</si>
  <si>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</si>
  <si>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</si>
  <si>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</si>
  <si>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</si>
  <si>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</si>
  <si>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</si>
  <si>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</si>
  <si>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</si>
  <si>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</si>
  <si>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</si>
  <si>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</si>
  <si>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</si>
  <si>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</si>
  <si>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</si>
  <si>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</si>
  <si>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</si>
  <si>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</si>
  <si>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</si>
  <si>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</si>
  <si>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</si>
  <si>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</si>
  <si>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</si>
  <si>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</si>
  <si>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</si>
  <si>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</si>
  <si>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</si>
  <si>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</si>
  <si>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</si>
  <si>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</si>
  <si>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</si>
  <si>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</si>
  <si>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</si>
  <si>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</si>
  <si>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</si>
  <si>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</si>
  <si>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</si>
  <si>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</si>
  <si>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</si>
  <si>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</si>
  <si>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</si>
  <si>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</si>
  <si>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</si>
  <si>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</si>
  <si>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</si>
  <si>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</si>
  <si>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</si>
  <si>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</si>
  <si>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</si>
  <si>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</si>
  <si>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</si>
  <si>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</si>
  <si>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</si>
  <si>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</si>
  <si>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</si>
  <si>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</si>
  <si>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</si>
  <si>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</si>
  <si>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</si>
  <si>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</si>
  <si>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</si>
  <si>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</si>
  <si>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</si>
  <si>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</si>
  <si>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</si>
  <si>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</si>
  <si>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</si>
  <si>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</si>
  <si>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</si>
  <si>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</si>
  <si>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</si>
  <si>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</si>
  <si>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</si>
  <si>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</si>
  <si>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</si>
  <si>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</si>
  <si>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</si>
  <si>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</si>
  <si>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</si>
  <si>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</si>
  <si>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</si>
  <si>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</si>
  <si>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</si>
  <si>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</si>
  <si>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</si>
  <si>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</si>
  <si>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</si>
  <si>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</si>
  <si>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</si>
  <si>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</si>
  <si>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</si>
  <si>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</si>
  <si>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</si>
  <si>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</si>
  <si>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</si>
  <si>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</si>
  <si>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</si>
  <si>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</si>
  <si>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</si>
  <si>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</si>
  <si>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</si>
  <si>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</si>
  <si>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</si>
  <si>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</si>
  <si>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</si>
  <si>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</si>
  <si>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</si>
  <si>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</si>
  <si>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</si>
  <si>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</si>
  <si>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</si>
  <si>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</si>
  <si>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</si>
  <si>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</si>
  <si>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</si>
  <si>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</si>
  <si>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</si>
  <si>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</si>
  <si>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</si>
  <si>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</si>
  <si>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</si>
  <si>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</si>
  <si>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</si>
  <si>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</si>
  <si>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</si>
  <si>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</si>
  <si>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</si>
  <si>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</si>
  <si>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</si>
  <si>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</si>
  <si>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</si>
  <si>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</si>
  <si>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</si>
  <si>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</si>
  <si>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</si>
  <si>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</si>
  <si>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</si>
  <si>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</si>
  <si>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</si>
  <si>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</si>
  <si>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</si>
  <si>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</si>
  <si>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</si>
  <si>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</si>
  <si>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</si>
  <si>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</si>
  <si>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</si>
  <si>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</si>
  <si>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</si>
  <si>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</si>
  <si>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</si>
  <si>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</si>
  <si>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</si>
  <si>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</si>
  <si>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</si>
  <si>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</si>
  <si>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</si>
  <si>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</si>
  <si>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</si>
  <si>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</si>
  <si>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</si>
  <si>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</si>
  <si>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</si>
  <si>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</si>
  <si>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</si>
  <si>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</si>
  <si>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</si>
  <si>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</si>
  <si>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</si>
  <si>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</si>
  <si>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</si>
  <si>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</si>
  <si>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</si>
  <si>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</si>
  <si>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</si>
  <si>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</si>
  <si>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</si>
  <si>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</si>
  <si>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</si>
  <si>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</si>
  <si>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</si>
  <si>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</si>
  <si>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</si>
  <si>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</si>
  <si>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</si>
  <si>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</si>
  <si>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</si>
  <si>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</si>
  <si>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</si>
  <si>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</si>
  <si>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</si>
  <si>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</si>
  <si>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</si>
  <si>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</si>
  <si>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</si>
  <si>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</si>
  <si>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</si>
  <si>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</si>
  <si>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</si>
  <si>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</si>
  <si>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</si>
  <si>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</si>
  <si>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</si>
  <si>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</si>
  <si>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</si>
  <si>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</si>
  <si>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</si>
  <si>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</si>
  <si>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</si>
  <si>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</si>
  <si>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</si>
  <si>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</si>
  <si>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</si>
  <si>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</si>
  <si>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</si>
  <si>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</si>
  <si>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</si>
  <si>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</si>
  <si>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</si>
  <si>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</si>
  <si>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</si>
  <si>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</si>
  <si>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</si>
  <si>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</si>
  <si>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</si>
  <si>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</si>
  <si>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</si>
  <si>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</si>
  <si>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</si>
  <si>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</si>
  <si>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</si>
  <si>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</si>
  <si>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</si>
  <si>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</si>
  <si>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</si>
  <si>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</si>
  <si>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</si>
  <si>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</si>
  <si>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</si>
  <si>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</si>
  <si>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</si>
  <si>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</si>
  <si>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</si>
  <si>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</si>
  <si>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</si>
  <si>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</si>
  <si>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</si>
  <si>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</si>
  <si>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</si>
  <si>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</si>
  <si>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</si>
  <si>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</si>
  <si>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</si>
  <si>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</si>
  <si>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</si>
  <si>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</si>
  <si>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</si>
  <si>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</si>
  <si>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</si>
  <si>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</si>
  <si>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</si>
  <si>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</si>
  <si>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</si>
  <si>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</si>
  <si>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</si>
  <si>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</si>
  <si>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</si>
  <si>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</si>
  <si>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</si>
  <si>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</si>
  <si>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</si>
  <si>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</si>
  <si>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</si>
  <si>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</si>
  <si>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</si>
  <si>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</si>
  <si>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</si>
  <si>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</si>
  <si>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</si>
  <si>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</si>
  <si>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</si>
  <si>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</si>
  <si>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</si>
  <si>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</si>
  <si>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</si>
  <si>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</si>
  <si>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</si>
  <si>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</si>
  <si>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</si>
  <si>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</si>
  <si>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</si>
  <si>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</si>
  <si>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</si>
  <si>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</si>
  <si>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</si>
  <si>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</si>
  <si>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</si>
  <si>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</si>
  <si>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</si>
  <si>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</si>
  <si>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</si>
  <si>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</si>
  <si>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</si>
  <si>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</si>
  <si>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</si>
  <si>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</si>
  <si>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</si>
  <si>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</si>
  <si>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</si>
  <si>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</si>
  <si>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</si>
  <si>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</si>
  <si>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</si>
  <si>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</si>
  <si>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</si>
  <si>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</si>
  <si>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</si>
  <si>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</si>
  <si>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</si>
  <si>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</si>
  <si>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</si>
  <si>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</si>
  <si>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</si>
  <si>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</si>
  <si>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</si>
  <si>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</si>
  <si>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</si>
  <si>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</si>
  <si>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</si>
  <si>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</si>
  <si>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</si>
  <si>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</si>
  <si>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</si>
  <si>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</si>
  <si>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</si>
  <si>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</si>
  <si>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</si>
  <si>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</si>
  <si>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</si>
  <si>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</si>
  <si>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</si>
  <si>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</si>
  <si>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</si>
  <si>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</si>
  <si>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</si>
  <si>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</si>
  <si>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</si>
  <si>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</si>
  <si>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</si>
  <si>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</si>
  <si>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</si>
  <si>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</si>
  <si>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</si>
  <si>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</si>
  <si>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</si>
  <si>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</si>
  <si>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</si>
  <si>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</si>
  <si>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</si>
  <si>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</si>
  <si>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</si>
  <si>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</si>
  <si>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</si>
  <si>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</si>
  <si>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</si>
  <si>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</si>
  <si>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</si>
  <si>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</si>
  <si>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</si>
  <si>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</si>
  <si>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</si>
  <si>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</si>
  <si>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</si>
  <si>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</si>
  <si>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</si>
  <si>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</si>
  <si>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</si>
  <si>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</si>
  <si>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</si>
  <si>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</si>
  <si>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</si>
  <si>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</si>
  <si>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</si>
  <si>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</si>
  <si>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</si>
  <si>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</si>
  <si>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</si>
  <si>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</si>
  <si>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</si>
  <si>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</si>
  <si>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</si>
  <si>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</si>
  <si>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</si>
  <si>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</si>
  <si>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</si>
  <si>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</si>
  <si>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</si>
  <si>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</si>
  <si>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</si>
  <si>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</si>
  <si>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</si>
  <si>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</si>
  <si>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</si>
  <si>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</si>
  <si>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</si>
  <si>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</si>
  <si>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</si>
  <si>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</si>
  <si>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</si>
  <si>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</si>
  <si>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</si>
  <si>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</si>
  <si>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</si>
  <si>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</si>
  <si>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</si>
  <si>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</si>
  <si>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</si>
  <si>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</si>
  <si>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</si>
  <si>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</si>
  <si>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</si>
  <si>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</si>
  <si>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</si>
  <si>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</si>
  <si>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</si>
  <si>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</si>
  <si>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</si>
  <si>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</si>
  <si>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</si>
  <si>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</si>
  <si>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</si>
  <si>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</si>
  <si>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</si>
  <si>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</si>
  <si>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</si>
  <si>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</si>
  <si>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</si>
  <si>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</si>
  <si>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</si>
  <si>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</si>
  <si>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</si>
  <si>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</si>
  <si>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</si>
  <si>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</si>
  <si>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</si>
  <si>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</si>
  <si>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</si>
  <si>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</si>
  <si>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</si>
  <si>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</si>
  <si>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</si>
  <si>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</si>
  <si>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</si>
  <si>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</si>
  <si>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</si>
  <si>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</si>
  <si>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</si>
  <si>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</si>
  <si>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</si>
  <si>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</si>
  <si>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</si>
  <si>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</si>
  <si>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</si>
  <si>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</si>
  <si>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</si>
  <si>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</si>
  <si>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</si>
  <si>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</si>
  <si>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</si>
  <si>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</si>
  <si>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</si>
  <si>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</si>
  <si>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</si>
  <si>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</si>
  <si>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</si>
  <si>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</si>
  <si>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</si>
  <si>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</si>
  <si>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</si>
  <si>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</si>
  <si>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</si>
  <si>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</si>
  <si>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</si>
  <si>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</si>
  <si>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</si>
  <si>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</si>
  <si>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</si>
  <si>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</si>
  <si>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</si>
  <si>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</si>
  <si>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</si>
  <si>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</si>
  <si>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</si>
  <si>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</si>
  <si>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</si>
  <si>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</si>
  <si>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</si>
  <si>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</si>
  <si>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</si>
  <si>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</si>
  <si>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</si>
  <si>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</si>
  <si>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</si>
  <si>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</si>
  <si>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</si>
  <si>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</si>
  <si>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</si>
  <si>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</si>
  <si>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</si>
  <si>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</si>
  <si>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</si>
  <si>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</si>
  <si>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</si>
  <si>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</si>
  <si>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</si>
  <si>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</si>
  <si>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</si>
  <si>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</si>
  <si>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</si>
  <si>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</si>
  <si>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</si>
  <si>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</si>
  <si>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</si>
  <si>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</si>
  <si>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</si>
  <si>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</si>
  <si>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</si>
  <si>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</si>
  <si>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</si>
  <si>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</si>
  <si>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</si>
  <si>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</si>
  <si>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</si>
  <si>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</si>
  <si>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</si>
  <si>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</si>
  <si>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</si>
  <si>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</si>
  <si>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</si>
  <si>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</si>
  <si>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</si>
  <si>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</si>
  <si>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</si>
  <si>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</si>
  <si>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</si>
  <si>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</si>
  <si>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</si>
  <si>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</si>
  <si>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</si>
  <si>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</si>
  <si>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</si>
  <si>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</si>
  <si>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</si>
  <si>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</si>
  <si>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</si>
  <si>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</si>
  <si>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</si>
  <si>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</si>
  <si>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</si>
  <si>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</si>
  <si>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</si>
  <si>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</si>
  <si>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</si>
  <si>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</si>
  <si>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</si>
  <si>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</si>
  <si>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</si>
  <si>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</si>
  <si>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</si>
  <si>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</si>
  <si>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</si>
  <si>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</si>
  <si>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</si>
  <si>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</si>
  <si>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</si>
  <si>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</si>
  <si>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</si>
  <si>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</si>
  <si>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</si>
  <si>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</si>
  <si>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</si>
  <si>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</si>
  <si>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</si>
  <si>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</si>
  <si>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</si>
  <si>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</si>
  <si>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</si>
  <si>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</si>
  <si>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</si>
  <si>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</si>
  <si>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</si>
  <si>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</si>
  <si>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</si>
  <si>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</si>
  <si>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</si>
  <si>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</si>
  <si>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</si>
  <si>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</si>
  <si>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</si>
  <si>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</si>
  <si>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</si>
  <si>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</si>
  <si>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</si>
  <si>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</si>
  <si>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</si>
  <si>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</si>
  <si>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</si>
  <si>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</si>
  <si>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</si>
  <si>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</si>
  <si>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</si>
  <si>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</si>
  <si>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</si>
  <si>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</si>
  <si>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</si>
  <si>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</si>
  <si>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</si>
  <si>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</si>
  <si>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</si>
  <si>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</si>
  <si>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</si>
  <si>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</si>
  <si>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</si>
  <si>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</si>
  <si>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</si>
  <si>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</si>
  <si>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</si>
  <si>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</si>
  <si>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</si>
  <si>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</si>
  <si>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</si>
  <si>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</si>
  <si>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</si>
  <si>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</si>
  <si>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</si>
  <si>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</si>
  <si>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</si>
  <si>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</si>
  <si>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</si>
  <si>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</si>
  <si>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</si>
  <si>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</si>
  <si>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</si>
  <si>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</si>
  <si>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</si>
  <si>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</si>
  <si>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</si>
  <si>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</si>
  <si>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</si>
  <si>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</si>
  <si>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</si>
  <si>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</si>
  <si>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</si>
  <si>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</si>
  <si>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</si>
  <si>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</si>
  <si>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</si>
  <si>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</si>
  <si>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</si>
  <si>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</si>
  <si>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</si>
  <si>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</si>
  <si>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</si>
  <si>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</si>
  <si>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</si>
  <si>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</si>
  <si>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</si>
  <si>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</si>
  <si>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</si>
  <si>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</si>
  <si>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</si>
  <si>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</si>
  <si>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</si>
  <si>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</si>
  <si>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</si>
  <si>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</si>
  <si>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</si>
  <si>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</si>
  <si>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</si>
  <si>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</si>
  <si>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</si>
  <si>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</si>
  <si>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</si>
  <si>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</si>
  <si>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</si>
  <si>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</si>
  <si>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</si>
  <si>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</si>
  <si>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</si>
  <si>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</si>
  <si>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</si>
  <si>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</si>
  <si>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</si>
  <si>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</si>
  <si>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</si>
  <si>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</si>
  <si>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</si>
  <si>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</si>
  <si>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</si>
  <si>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</si>
  <si>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</si>
  <si>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</si>
  <si>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</si>
  <si>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</si>
  <si>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</si>
  <si>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</si>
  <si>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</si>
  <si>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</si>
  <si>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</si>
  <si>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</si>
  <si>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</si>
  <si>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</si>
  <si>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</si>
  <si>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</si>
  <si>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</si>
  <si>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</si>
  <si>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</si>
  <si>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</si>
  <si>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</si>
  <si>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</si>
  <si>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</si>
  <si>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</si>
  <si>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</si>
  <si>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</si>
  <si>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</si>
  <si>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</si>
  <si>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</si>
  <si>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</si>
  <si>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</si>
  <si>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</si>
  <si>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</si>
  <si>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</si>
  <si>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</si>
  <si>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</si>
  <si>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</si>
  <si>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</si>
  <si>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</si>
  <si>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</si>
  <si>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</si>
  <si>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</si>
  <si>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</si>
  <si>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</si>
  <si>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</si>
  <si>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</si>
  <si>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</si>
  <si>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</si>
  <si>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</si>
  <si>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</si>
  <si>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</si>
  <si>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</si>
  <si>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</si>
  <si>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</si>
  <si>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</si>
  <si>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</si>
  <si>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</si>
  <si>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</si>
  <si>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</si>
  <si>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</si>
  <si>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</si>
  <si>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</si>
  <si>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</si>
  <si>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</si>
  <si>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</si>
  <si>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</si>
  <si>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</si>
  <si>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</si>
  <si>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</si>
  <si>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</si>
  <si>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</si>
  <si>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</si>
  <si>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</si>
  <si>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</si>
  <si>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</si>
  <si>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</si>
  <si>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</si>
  <si>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</si>
  <si>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</si>
  <si>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</si>
  <si>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</si>
  <si>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</si>
  <si>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</si>
  <si>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</si>
  <si>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</si>
  <si>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</si>
  <si>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</si>
  <si>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</si>
  <si>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</si>
  <si>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</si>
  <si>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</si>
  <si>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</si>
  <si>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</si>
  <si>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</si>
  <si>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</si>
  <si>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</si>
  <si>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</si>
  <si>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</si>
  <si>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</si>
  <si>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</si>
  <si>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</si>
  <si>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</si>
  <si>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</si>
  <si>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</si>
  <si>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</si>
  <si>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</si>
  <si>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</si>
  <si>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</si>
  <si>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</si>
  <si>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</si>
  <si>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</si>
  <si>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</si>
  <si>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</si>
  <si>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</si>
  <si>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</si>
  <si>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</si>
  <si>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</si>
  <si>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</si>
  <si>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</si>
  <si>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</si>
  <si>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</si>
  <si>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</si>
  <si>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</si>
  <si>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</si>
  <si>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</si>
  <si>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</si>
  <si>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</si>
  <si>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</si>
  <si>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</si>
  <si>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</si>
  <si>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</si>
  <si>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</si>
  <si>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</si>
  <si>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</si>
  <si>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</si>
  <si>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</si>
  <si>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</si>
  <si>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</si>
  <si>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</si>
  <si>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</si>
  <si>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</si>
  <si>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</si>
  <si>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</si>
  <si>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</si>
  <si>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72029</t>
  </si>
  <si>
    <t>OVERPELT</t>
  </si>
  <si>
    <t>referentietaak LNE (2017); Jaarverslag De Lijn</t>
  </si>
  <si>
    <t>Rik Theuwis</t>
  </si>
  <si>
    <t>Schansstraat 88 , 3900 Overpelt</t>
  </si>
  <si>
    <t>WKK-0450 Rik Theuwis</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</si>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</sst>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120826.87391606091</c:v>
                </c:pt>
                <c:pt idx="1">
                  <c:v>74516.473030304507</c:v>
                </c:pt>
                <c:pt idx="2">
                  <c:v>1075.4783689999999</c:v>
                </c:pt>
                <c:pt idx="3">
                  <c:v>2804.4520322993958</c:v>
                </c:pt>
                <c:pt idx="4">
                  <c:v>196768.1201657035</c:v>
                </c:pt>
                <c:pt idx="5">
                  <c:v>101121.25336434811</c:v>
                </c:pt>
                <c:pt idx="6">
                  <c:v>2011.0943477900889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120826.87391606091</c:v>
                </c:pt>
                <c:pt idx="1">
                  <c:v>74516.473030304507</c:v>
                </c:pt>
                <c:pt idx="2">
                  <c:v>1075.4783689999999</c:v>
                </c:pt>
                <c:pt idx="3">
                  <c:v>2804.4520322993958</c:v>
                </c:pt>
                <c:pt idx="4">
                  <c:v>196768.1201657035</c:v>
                </c:pt>
                <c:pt idx="5">
                  <c:v>101121.25336434811</c:v>
                </c:pt>
                <c:pt idx="6">
                  <c:v>2011.0943477900889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19763.471397418245</c:v>
                </c:pt>
                <c:pt idx="1">
                  <c:v>14299.978888737043</c:v>
                </c:pt>
                <c:pt idx="2">
                  <c:v>194.60340298953582</c:v>
                </c:pt>
                <c:pt idx="3">
                  <c:v>689.96961686324084</c:v>
                </c:pt>
                <c:pt idx="4">
                  <c:v>39407.902793971982</c:v>
                </c:pt>
                <c:pt idx="5">
                  <c:v>25124.525049802909</c:v>
                </c:pt>
                <c:pt idx="6">
                  <c:v>509.323402162197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19763.471397418245</c:v>
                </c:pt>
                <c:pt idx="1">
                  <c:v>14299.978888737043</c:v>
                </c:pt>
                <c:pt idx="2">
                  <c:v>194.60340298953582</c:v>
                </c:pt>
                <c:pt idx="3">
                  <c:v>689.96961686324084</c:v>
                </c:pt>
                <c:pt idx="4">
                  <c:v>39407.902793971982</c:v>
                </c:pt>
                <c:pt idx="5">
                  <c:v>25124.525049802909</c:v>
                </c:pt>
                <c:pt idx="6">
                  <c:v>509.323402162197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72029</v>
      </c>
      <c r="B6" s="392"/>
      <c r="C6" s="393"/>
    </row>
    <row r="7" spans="1:7" s="390" customFormat="1" ht="15.75" customHeight="1">
      <c r="A7" s="394" t="str">
        <f>txtMunicipality</f>
        <v>OVERPELT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0.18094590146939146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0.18094590146939146</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6423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1157.8769499929119</v>
      </c>
      <c r="C14" s="332"/>
      <c r="D14" s="332"/>
      <c r="E14" s="332"/>
      <c r="F14" s="332"/>
    </row>
    <row r="15" spans="1:6">
      <c r="A15" s="1310" t="s">
        <v>183</v>
      </c>
      <c r="B15" s="1311">
        <v>1938.1224025049814</v>
      </c>
      <c r="C15" s="332"/>
      <c r="D15" s="332"/>
      <c r="E15" s="332"/>
      <c r="F15" s="332"/>
    </row>
    <row r="16" spans="1:6">
      <c r="A16" s="1310" t="s">
        <v>6</v>
      </c>
      <c r="B16" s="1311">
        <v>1186.286968264686</v>
      </c>
      <c r="C16" s="332"/>
      <c r="D16" s="332"/>
      <c r="E16" s="332"/>
      <c r="F16" s="332"/>
    </row>
    <row r="17" spans="1:6">
      <c r="A17" s="1310" t="s">
        <v>7</v>
      </c>
      <c r="B17" s="1311">
        <v>30.04615384615385</v>
      </c>
      <c r="C17" s="332"/>
      <c r="D17" s="332"/>
      <c r="E17" s="332"/>
      <c r="F17" s="332"/>
    </row>
    <row r="18" spans="1:6">
      <c r="A18" s="1310" t="s">
        <v>8</v>
      </c>
      <c r="B18" s="1311">
        <v>555.68253968253964</v>
      </c>
      <c r="C18" s="332"/>
      <c r="D18" s="332"/>
      <c r="E18" s="332"/>
      <c r="F18" s="332"/>
    </row>
    <row r="19" spans="1:6">
      <c r="A19" s="1310" t="s">
        <v>9</v>
      </c>
      <c r="B19" s="1311">
        <v>593.74206617150571</v>
      </c>
      <c r="C19" s="332"/>
      <c r="D19" s="332"/>
      <c r="E19" s="332"/>
      <c r="F19" s="332"/>
    </row>
    <row r="20" spans="1:6">
      <c r="A20" s="1310" t="s">
        <v>10</v>
      </c>
      <c r="B20" s="1311">
        <v>107.34620689655173</v>
      </c>
      <c r="C20" s="332"/>
      <c r="D20" s="332"/>
      <c r="E20" s="332"/>
      <c r="F20" s="332"/>
    </row>
    <row r="21" spans="1:6">
      <c r="A21" s="1310" t="s">
        <v>11</v>
      </c>
      <c r="B21" s="1311">
        <v>0</v>
      </c>
      <c r="C21" s="332"/>
      <c r="D21" s="332"/>
      <c r="E21" s="332"/>
      <c r="F21" s="332"/>
    </row>
    <row r="22" spans="1:6">
      <c r="A22" s="1310" t="s">
        <v>12</v>
      </c>
      <c r="B22" s="1311">
        <v>129.65357821405954</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112.87074829931973</v>
      </c>
      <c r="C26" s="332"/>
      <c r="D26" s="332"/>
      <c r="E26" s="332"/>
      <c r="F26" s="332"/>
    </row>
    <row r="27" spans="1:6">
      <c r="A27" s="1310" t="s">
        <v>17</v>
      </c>
      <c r="B27" s="1311">
        <v>1.5</v>
      </c>
      <c r="C27" s="332"/>
      <c r="D27" s="332"/>
      <c r="E27" s="332"/>
      <c r="F27" s="332"/>
    </row>
    <row r="28" spans="1:6" s="43" customFormat="1">
      <c r="A28" s="1312" t="s">
        <v>18</v>
      </c>
      <c r="B28" s="1313">
        <v>13660.274883359254</v>
      </c>
      <c r="C28" s="338"/>
      <c r="D28" s="338"/>
      <c r="E28" s="338"/>
      <c r="F28" s="338"/>
    </row>
    <row r="29" spans="1:6">
      <c r="A29" s="1312" t="s">
        <v>699</v>
      </c>
      <c r="B29" s="1313">
        <v>106.81481481481482</v>
      </c>
      <c r="C29" s="338"/>
      <c r="D29" s="338"/>
      <c r="E29" s="338"/>
      <c r="F29" s="338"/>
    </row>
    <row r="30" spans="1:6">
      <c r="A30" s="1305" t="s">
        <v>700</v>
      </c>
      <c r="B30" s="1314">
        <v>26.189189189189189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4390</v>
      </c>
      <c r="D39" s="1311">
        <v>62140194.263000198</v>
      </c>
      <c r="E39" s="1311">
        <v>6482</v>
      </c>
      <c r="F39" s="1311">
        <v>20167266.684</v>
      </c>
    </row>
    <row r="40" spans="1:6">
      <c r="A40" s="1310" t="s">
        <v>29</v>
      </c>
      <c r="B40" s="1310" t="s">
        <v>28</v>
      </c>
      <c r="C40" s="1311">
        <v>0</v>
      </c>
      <c r="D40" s="1311">
        <v>0</v>
      </c>
      <c r="E40" s="1311">
        <v>0</v>
      </c>
      <c r="F40" s="1311">
        <v>0</v>
      </c>
    </row>
    <row r="41" spans="1:6">
      <c r="A41" s="1310" t="s">
        <v>31</v>
      </c>
      <c r="B41" s="1310" t="s">
        <v>32</v>
      </c>
      <c r="C41" s="1311">
        <v>77</v>
      </c>
      <c r="D41" s="1311">
        <v>11789529.647</v>
      </c>
      <c r="E41" s="1311">
        <v>157</v>
      </c>
      <c r="F41" s="1311">
        <v>22882211.109000001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37</v>
      </c>
      <c r="D44" s="1311">
        <v>59735717.348999999</v>
      </c>
      <c r="E44" s="1311">
        <v>66</v>
      </c>
      <c r="F44" s="1311">
        <v>22518102.063999999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4</v>
      </c>
      <c r="F47" s="1311">
        <v>5399811.3099999996</v>
      </c>
    </row>
    <row r="48" spans="1:6">
      <c r="A48" s="1310" t="s">
        <v>31</v>
      </c>
      <c r="B48" s="1310" t="s">
        <v>28</v>
      </c>
      <c r="C48" s="1311">
        <v>4</v>
      </c>
      <c r="D48" s="1311">
        <v>65704085.939000003</v>
      </c>
      <c r="E48" s="1311">
        <v>1</v>
      </c>
      <c r="F48" s="1311">
        <v>10210.263000000001</v>
      </c>
    </row>
    <row r="49" spans="1:6">
      <c r="A49" s="1310" t="s">
        <v>31</v>
      </c>
      <c r="B49" s="1310" t="s">
        <v>39</v>
      </c>
      <c r="C49" s="1311">
        <v>5</v>
      </c>
      <c r="D49" s="1311">
        <v>3909049.1690000002</v>
      </c>
      <c r="E49" s="1311">
        <v>5</v>
      </c>
      <c r="F49" s="1311">
        <v>924857.05700000003</v>
      </c>
    </row>
    <row r="50" spans="1:6">
      <c r="A50" s="1310" t="s">
        <v>31</v>
      </c>
      <c r="B50" s="1310" t="s">
        <v>40</v>
      </c>
      <c r="C50" s="1311">
        <v>7</v>
      </c>
      <c r="D50" s="1311">
        <v>294113.16399999999</v>
      </c>
      <c r="E50" s="1311">
        <v>10</v>
      </c>
      <c r="F50" s="1311">
        <v>231394.59299999999</v>
      </c>
    </row>
    <row r="51" spans="1:6">
      <c r="A51" s="1310" t="s">
        <v>41</v>
      </c>
      <c r="B51" s="1310" t="s">
        <v>42</v>
      </c>
      <c r="C51" s="1311">
        <v>4</v>
      </c>
      <c r="D51" s="1311">
        <v>68134.915999999997</v>
      </c>
      <c r="E51" s="1311">
        <v>34</v>
      </c>
      <c r="F51" s="1311">
        <v>589890.02599999995</v>
      </c>
    </row>
    <row r="52" spans="1:6">
      <c r="A52" s="1310" t="s">
        <v>41</v>
      </c>
      <c r="B52" s="1310" t="s">
        <v>28</v>
      </c>
      <c r="C52" s="1311">
        <v>0</v>
      </c>
      <c r="D52" s="1311">
        <v>0</v>
      </c>
      <c r="E52" s="1311">
        <v>0</v>
      </c>
      <c r="F52" s="1311">
        <v>0</v>
      </c>
    </row>
    <row r="53" spans="1:6">
      <c r="A53" s="1310" t="s">
        <v>43</v>
      </c>
      <c r="B53" s="1310" t="s">
        <v>44</v>
      </c>
      <c r="C53" s="1311">
        <v>57</v>
      </c>
      <c r="D53" s="1311">
        <v>1462521.3060000001</v>
      </c>
      <c r="E53" s="1311">
        <v>116</v>
      </c>
      <c r="F53" s="1311">
        <v>425885.51699999999</v>
      </c>
    </row>
    <row r="54" spans="1:6">
      <c r="A54" s="1310" t="s">
        <v>45</v>
      </c>
      <c r="B54" s="1310" t="s">
        <v>46</v>
      </c>
      <c r="C54" s="1311">
        <v>0</v>
      </c>
      <c r="D54" s="1311">
        <v>0</v>
      </c>
      <c r="E54" s="1311">
        <v>3</v>
      </c>
      <c r="F54" s="1311">
        <v>1075478.3689999999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35</v>
      </c>
      <c r="D57" s="1311">
        <v>2783435.102</v>
      </c>
      <c r="E57" s="1311">
        <v>67</v>
      </c>
      <c r="F57" s="1311">
        <v>4605749.4989999998</v>
      </c>
    </row>
    <row r="58" spans="1:6">
      <c r="A58" s="1310" t="s">
        <v>48</v>
      </c>
      <c r="B58" s="1310" t="s">
        <v>50</v>
      </c>
      <c r="C58" s="1311">
        <v>42</v>
      </c>
      <c r="D58" s="1311">
        <v>13490972.687000001</v>
      </c>
      <c r="E58" s="1311">
        <v>52</v>
      </c>
      <c r="F58" s="1311">
        <v>9179937.8589999992</v>
      </c>
    </row>
    <row r="59" spans="1:6">
      <c r="A59" s="1310" t="s">
        <v>48</v>
      </c>
      <c r="B59" s="1310" t="s">
        <v>51</v>
      </c>
      <c r="C59" s="1311">
        <v>107</v>
      </c>
      <c r="D59" s="1311">
        <v>5294487.0190000003</v>
      </c>
      <c r="E59" s="1311">
        <v>176</v>
      </c>
      <c r="F59" s="1311">
        <v>14291950.664000001</v>
      </c>
    </row>
    <row r="60" spans="1:6">
      <c r="A60" s="1310" t="s">
        <v>48</v>
      </c>
      <c r="B60" s="1310" t="s">
        <v>52</v>
      </c>
      <c r="C60" s="1311">
        <v>49</v>
      </c>
      <c r="D60" s="1311">
        <v>5229856.0489999996</v>
      </c>
      <c r="E60" s="1311">
        <v>64</v>
      </c>
      <c r="F60" s="1311">
        <v>2208634.091</v>
      </c>
    </row>
    <row r="61" spans="1:6">
      <c r="A61" s="1310" t="s">
        <v>48</v>
      </c>
      <c r="B61" s="1310" t="s">
        <v>53</v>
      </c>
      <c r="C61" s="1311">
        <v>134</v>
      </c>
      <c r="D61" s="1311">
        <v>5695719.5999999996</v>
      </c>
      <c r="E61" s="1311">
        <v>289</v>
      </c>
      <c r="F61" s="1311">
        <v>5240823.9009999996</v>
      </c>
    </row>
    <row r="62" spans="1:6">
      <c r="A62" s="1310" t="s">
        <v>48</v>
      </c>
      <c r="B62" s="1310" t="s">
        <v>54</v>
      </c>
      <c r="C62" s="1311">
        <v>13</v>
      </c>
      <c r="D62" s="1311">
        <v>1325769.6599999999</v>
      </c>
      <c r="E62" s="1311">
        <v>17</v>
      </c>
      <c r="F62" s="1311">
        <v>532838.43799999997</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254380.04199999999</v>
      </c>
      <c r="E65" s="1311">
        <v>0</v>
      </c>
      <c r="F65" s="1311">
        <v>0</v>
      </c>
    </row>
    <row r="66" spans="1:6">
      <c r="A66" s="1310" t="s">
        <v>55</v>
      </c>
      <c r="B66" s="1310" t="s">
        <v>57</v>
      </c>
      <c r="C66" s="1311">
        <v>0</v>
      </c>
      <c r="D66" s="1311">
        <v>0</v>
      </c>
      <c r="E66" s="1311">
        <v>9</v>
      </c>
      <c r="F66" s="1311">
        <v>134448.15</v>
      </c>
    </row>
    <row r="67" spans="1:6">
      <c r="A67" s="1312" t="s">
        <v>55</v>
      </c>
      <c r="B67" s="1312" t="s">
        <v>58</v>
      </c>
      <c r="C67" s="1311">
        <v>0</v>
      </c>
      <c r="D67" s="1311">
        <v>0</v>
      </c>
      <c r="E67" s="1311">
        <v>0</v>
      </c>
      <c r="F67" s="1311">
        <v>0</v>
      </c>
    </row>
    <row r="68" spans="1:6">
      <c r="A68" s="1305" t="s">
        <v>55</v>
      </c>
      <c r="B68" s="1305" t="s">
        <v>59</v>
      </c>
      <c r="C68" s="1314">
        <v>0</v>
      </c>
      <c r="D68" s="1314">
        <v>0</v>
      </c>
      <c r="E68" s="1314">
        <v>8</v>
      </c>
      <c r="F68" s="1314">
        <v>613729.64</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86321570</v>
      </c>
      <c r="E73" s="453"/>
      <c r="F73" s="332"/>
    </row>
    <row r="74" spans="1:6">
      <c r="A74" s="1310" t="s">
        <v>63</v>
      </c>
      <c r="B74" s="1310" t="s">
        <v>648</v>
      </c>
      <c r="C74" s="1324" t="s">
        <v>650</v>
      </c>
      <c r="D74" s="1325">
        <v>8816963.6360754166</v>
      </c>
      <c r="E74" s="453"/>
      <c r="F74" s="332"/>
    </row>
    <row r="75" spans="1:6">
      <c r="A75" s="1310" t="s">
        <v>64</v>
      </c>
      <c r="B75" s="1310" t="s">
        <v>647</v>
      </c>
      <c r="C75" s="1324" t="s">
        <v>651</v>
      </c>
      <c r="D75" s="1325">
        <v>22167093</v>
      </c>
      <c r="E75" s="453"/>
      <c r="F75" s="332"/>
    </row>
    <row r="76" spans="1:6">
      <c r="A76" s="1310" t="s">
        <v>64</v>
      </c>
      <c r="B76" s="1310" t="s">
        <v>648</v>
      </c>
      <c r="C76" s="1324" t="s">
        <v>652</v>
      </c>
      <c r="D76" s="1325">
        <v>937112.63607541705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557828.72784916603</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6549.6600268334832</v>
      </c>
      <c r="C91" s="332"/>
      <c r="D91" s="332"/>
      <c r="E91" s="332"/>
      <c r="F91" s="332"/>
    </row>
    <row r="92" spans="1:6">
      <c r="A92" s="1305" t="s">
        <v>68</v>
      </c>
      <c r="B92" s="1306">
        <v>14595.124498134559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1399</v>
      </c>
      <c r="C97" s="332"/>
      <c r="D97" s="332"/>
      <c r="E97" s="332"/>
      <c r="F97" s="332"/>
    </row>
    <row r="98" spans="1:6">
      <c r="A98" s="1310" t="s">
        <v>71</v>
      </c>
      <c r="B98" s="1311">
        <v>3</v>
      </c>
      <c r="C98" s="332"/>
      <c r="D98" s="332"/>
      <c r="E98" s="332"/>
      <c r="F98" s="332"/>
    </row>
    <row r="99" spans="1:6">
      <c r="A99" s="1310" t="s">
        <v>72</v>
      </c>
      <c r="B99" s="1311">
        <v>78</v>
      </c>
      <c r="C99" s="332"/>
      <c r="D99" s="332"/>
      <c r="E99" s="332"/>
      <c r="F99" s="332"/>
    </row>
    <row r="100" spans="1:6">
      <c r="A100" s="1310" t="s">
        <v>73</v>
      </c>
      <c r="B100" s="1311">
        <v>209</v>
      </c>
      <c r="C100" s="332"/>
      <c r="D100" s="332"/>
      <c r="E100" s="332"/>
      <c r="F100" s="332"/>
    </row>
    <row r="101" spans="1:6">
      <c r="A101" s="1310" t="s">
        <v>74</v>
      </c>
      <c r="B101" s="1311">
        <v>54</v>
      </c>
      <c r="C101" s="332"/>
      <c r="D101" s="332"/>
      <c r="E101" s="332"/>
      <c r="F101" s="332"/>
    </row>
    <row r="102" spans="1:6">
      <c r="A102" s="1310" t="s">
        <v>75</v>
      </c>
      <c r="B102" s="1311">
        <v>43</v>
      </c>
      <c r="C102" s="332"/>
      <c r="D102" s="332"/>
      <c r="E102" s="332"/>
      <c r="F102" s="332"/>
    </row>
    <row r="103" spans="1:6">
      <c r="A103" s="1310" t="s">
        <v>76</v>
      </c>
      <c r="B103" s="1311">
        <v>68</v>
      </c>
      <c r="C103" s="332"/>
      <c r="D103" s="332"/>
      <c r="E103" s="332"/>
      <c r="F103" s="332"/>
    </row>
    <row r="104" spans="1:6">
      <c r="A104" s="1310" t="s">
        <v>77</v>
      </c>
      <c r="B104" s="1311">
        <v>2869</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75</v>
      </c>
      <c r="C123" s="1311">
        <v>49</v>
      </c>
      <c r="D123" s="332"/>
      <c r="E123" s="332"/>
      <c r="F123" s="332"/>
    </row>
    <row r="124" spans="1:6" s="43" customFormat="1">
      <c r="A124" s="1312" t="s">
        <v>88</v>
      </c>
      <c r="B124" s="1333">
        <v>2</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191</v>
      </c>
      <c r="C129" s="332"/>
      <c r="D129" s="332"/>
      <c r="E129" s="332"/>
      <c r="F129" s="332"/>
    </row>
    <row r="130" spans="1:6">
      <c r="A130" s="1310" t="s">
        <v>294</v>
      </c>
      <c r="B130" s="1311">
        <v>1</v>
      </c>
      <c r="C130" s="332"/>
      <c r="D130" s="332"/>
      <c r="E130" s="332"/>
      <c r="F130" s="332"/>
    </row>
    <row r="131" spans="1:6">
      <c r="A131" s="1310" t="s">
        <v>295</v>
      </c>
      <c r="B131" s="1311">
        <v>2</v>
      </c>
      <c r="C131" s="332"/>
      <c r="D131" s="332"/>
      <c r="E131" s="332"/>
      <c r="F131" s="332"/>
    </row>
    <row r="132" spans="1:6">
      <c r="A132" s="1305" t="s">
        <v>296</v>
      </c>
      <c r="B132" s="1306">
        <v>31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116907.98699263083</v>
      </c>
      <c r="C3" s="43" t="s">
        <v>169</v>
      </c>
      <c r="D3" s="43"/>
      <c r="E3" s="154"/>
      <c r="F3" s="43"/>
      <c r="G3" s="43"/>
      <c r="H3" s="43"/>
      <c r="I3" s="43"/>
      <c r="J3" s="43"/>
      <c r="K3" s="96"/>
    </row>
    <row r="4" spans="1:11">
      <c r="A4" s="360" t="s">
        <v>170</v>
      </c>
      <c r="B4" s="49">
        <f>IF(ISERROR('SEAP template'!B78+'SEAP template'!C78),0,'SEAP template'!B78+'SEAP template'!C78)</f>
        <v>21188.434524968045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0.18094590146939146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62.357142857142847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1075.4783689999999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1075.4783689999999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0.18094590146939146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194.60340298953582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20167.266684000002</v>
      </c>
      <c r="C5" s="17">
        <f>IF(ISERROR('Eigen informatie GS &amp; warmtenet'!B59),0,'Eigen informatie GS &amp; warmtenet'!B59)</f>
        <v>0</v>
      </c>
      <c r="D5" s="30">
        <f>(SUM(HH_hh_gas_kWh,HH_rest_gas_kWh)/1000)*0.903</f>
        <v>56112.595419489182</v>
      </c>
      <c r="E5" s="17">
        <f>B46*B57</f>
        <v>15834.399711444932</v>
      </c>
      <c r="F5" s="17">
        <f>B51*B62</f>
        <v>0</v>
      </c>
      <c r="G5" s="18"/>
      <c r="H5" s="17"/>
      <c r="I5" s="17"/>
      <c r="J5" s="17">
        <f>B50*B61+C50*C61</f>
        <v>0</v>
      </c>
      <c r="K5" s="17"/>
      <c r="L5" s="17"/>
      <c r="M5" s="17"/>
      <c r="N5" s="17">
        <f>B48*B59+C48*C59</f>
        <v>20547.150538191039</v>
      </c>
      <c r="O5" s="17">
        <f>B69*B70*B71</f>
        <v>478.13393087227462</v>
      </c>
      <c r="P5" s="17">
        <f>B77*B78*B79/1000-B77*B78*B79/1000/B80</f>
        <v>1137.6676052299824</v>
      </c>
    </row>
    <row r="6" spans="1:16">
      <c r="A6" s="16" t="s">
        <v>612</v>
      </c>
      <c r="B6" s="786">
        <f>kWh_PV_kleiner_dan_10kW</f>
        <v>6549.6600268334832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26716.926710833486</v>
      </c>
      <c r="C8" s="21">
        <f>C5</f>
        <v>0</v>
      </c>
      <c r="D8" s="21">
        <f>D5</f>
        <v>56112.595419489182</v>
      </c>
      <c r="E8" s="21">
        <f>E5</f>
        <v>15834.399711444932</v>
      </c>
      <c r="F8" s="21">
        <f>F5</f>
        <v>0</v>
      </c>
      <c r="G8" s="21"/>
      <c r="H8" s="21"/>
      <c r="I8" s="21"/>
      <c r="J8" s="21">
        <f>J5</f>
        <v>0</v>
      </c>
      <c r="K8" s="21"/>
      <c r="L8" s="21">
        <f>L5</f>
        <v>0</v>
      </c>
      <c r="M8" s="21">
        <f>M5</f>
        <v>0</v>
      </c>
      <c r="N8" s="21">
        <f>N5</f>
        <v>20547.150538191039</v>
      </c>
      <c r="O8" s="21">
        <f>O5</f>
        <v>478.13393087227462</v>
      </c>
      <c r="P8" s="21">
        <f>P5</f>
        <v>1137.6676052299824</v>
      </c>
    </row>
    <row r="9" spans="1:16">
      <c r="B9" s="19"/>
      <c r="C9" s="19"/>
      <c r="D9" s="258"/>
      <c r="E9" s="19"/>
      <c r="F9" s="19"/>
      <c r="G9" s="19"/>
      <c r="H9" s="19"/>
      <c r="I9" s="19"/>
      <c r="J9" s="19"/>
      <c r="K9" s="19"/>
      <c r="L9" s="19"/>
      <c r="M9" s="19"/>
      <c r="N9" s="19"/>
      <c r="O9" s="19"/>
      <c r="P9" s="19"/>
    </row>
    <row r="10" spans="1:16">
      <c r="A10" s="24" t="s">
        <v>213</v>
      </c>
      <c r="B10" s="25">
        <f ca="1">'EF ele_warmte'!B12</f>
        <v>0.18094590146939146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4834.3183881834293</v>
      </c>
      <c r="C12" s="23">
        <f ca="1">C10*C8</f>
        <v>0</v>
      </c>
      <c r="D12" s="23">
        <f>D8*D10</f>
        <v>11334.744274736815</v>
      </c>
      <c r="E12" s="23">
        <f>E10*E8</f>
        <v>3594.4087344979998</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1399</v>
      </c>
      <c r="C18" s="166" t="s">
        <v>110</v>
      </c>
      <c r="D18" s="228"/>
      <c r="E18" s="15"/>
    </row>
    <row r="19" spans="1:7">
      <c r="A19" s="171" t="s">
        <v>71</v>
      </c>
      <c r="B19" s="37">
        <f>aantalw2001_ander</f>
        <v>3</v>
      </c>
      <c r="C19" s="166" t="s">
        <v>110</v>
      </c>
      <c r="D19" s="229"/>
      <c r="E19" s="15"/>
    </row>
    <row r="20" spans="1:7">
      <c r="A20" s="171" t="s">
        <v>72</v>
      </c>
      <c r="B20" s="37">
        <f>aantalw2001_propaan</f>
        <v>78</v>
      </c>
      <c r="C20" s="167">
        <f>IF(ISERROR(B20/SUM($B$20,$B$21,$B$22)*100),0,B20/SUM($B$20,$B$21,$B$22)*100)</f>
        <v>22.873900293255129</v>
      </c>
      <c r="D20" s="229"/>
      <c r="E20" s="15"/>
    </row>
    <row r="21" spans="1:7">
      <c r="A21" s="171" t="s">
        <v>73</v>
      </c>
      <c r="B21" s="37">
        <f>aantalw2001_elektriciteit</f>
        <v>209</v>
      </c>
      <c r="C21" s="167">
        <f>IF(ISERROR(B21/SUM($B$20,$B$21,$B$22)*100),0,B21/SUM($B$20,$B$21,$B$22)*100)</f>
        <v>61.29032258064516</v>
      </c>
      <c r="D21" s="229"/>
      <c r="E21" s="15"/>
    </row>
    <row r="22" spans="1:7">
      <c r="A22" s="171" t="s">
        <v>74</v>
      </c>
      <c r="B22" s="37">
        <f>aantalw2001_hout</f>
        <v>54</v>
      </c>
      <c r="C22" s="167">
        <f>IF(ISERROR(B22/SUM($B$20,$B$21,$B$22)*100),0,B22/SUM($B$20,$B$21,$B$22)*100)</f>
        <v>15.835777126099707</v>
      </c>
      <c r="D22" s="229"/>
      <c r="E22" s="15"/>
    </row>
    <row r="23" spans="1:7">
      <c r="A23" s="171" t="s">
        <v>75</v>
      </c>
      <c r="B23" s="37">
        <f>aantalw2001_niet_gespec</f>
        <v>43</v>
      </c>
      <c r="C23" s="166" t="s">
        <v>110</v>
      </c>
      <c r="D23" s="228"/>
      <c r="E23" s="15"/>
    </row>
    <row r="24" spans="1:7">
      <c r="A24" s="171" t="s">
        <v>76</v>
      </c>
      <c r="B24" s="37">
        <f>aantalw2001_steenkool</f>
        <v>68</v>
      </c>
      <c r="C24" s="166" t="s">
        <v>110</v>
      </c>
      <c r="D24" s="229"/>
      <c r="E24" s="15"/>
    </row>
    <row r="25" spans="1:7">
      <c r="A25" s="171" t="s">
        <v>77</v>
      </c>
      <c r="B25" s="37">
        <f>aantalw2001_stookolie</f>
        <v>2869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6423</v>
      </c>
      <c r="C28" s="36"/>
      <c r="D28" s="228"/>
    </row>
    <row r="29" spans="1:7" s="15" customFormat="1">
      <c r="A29" s="230" t="s">
        <v>839</v>
      </c>
      <c r="B29" s="37">
        <f>SUM(HH_hh_gas_aantal,HH_rest_gas_aantal)</f>
        <v>4390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4390</v>
      </c>
      <c r="C32" s="167">
        <f>IF(ISERROR(B32/SUM($B$32,$B$34,$B$35,$B$36,$B$38,$B$39)*100),0,B32/SUM($B$32,$B$34,$B$35,$B$36,$B$38,$B$39)*100)</f>
        <v>69.51702296120348</v>
      </c>
      <c r="D32" s="233"/>
      <c r="G32" s="15"/>
    </row>
    <row r="33" spans="1:7">
      <c r="A33" s="171" t="s">
        <v>71</v>
      </c>
      <c r="B33" s="34" t="s">
        <v>110</v>
      </c>
      <c r="C33" s="167"/>
      <c r="D33" s="233"/>
      <c r="G33" s="15"/>
    </row>
    <row r="34" spans="1:7">
      <c r="A34" s="171" t="s">
        <v>72</v>
      </c>
      <c r="B34" s="33">
        <f>IF((($B$28-$B$32-$B$39-$B$77-$B$38)*C20/100)&lt;0,0,($B$28-$B$32-$B$39-$B$77-$B$38)*C20/100)</f>
        <v>440.32258064516122</v>
      </c>
      <c r="C34" s="167">
        <f>IF(ISERROR(B34/SUM($B$32,$B$34,$B$35,$B$36,$B$38,$B$39)*100),0,B34/SUM($B$32,$B$34,$B$35,$B$36,$B$38,$B$39)*100)</f>
        <v>6.9726457742701697</v>
      </c>
      <c r="D34" s="233"/>
      <c r="G34" s="15"/>
    </row>
    <row r="35" spans="1:7">
      <c r="A35" s="171" t="s">
        <v>73</v>
      </c>
      <c r="B35" s="33">
        <f>IF((($B$28-$B$32-$B$39-$B$77-$B$38)*C21/100)&lt;0,0,($B$28-$B$32-$B$39-$B$77-$B$38)*C21/100)</f>
        <v>1179.8387096774195</v>
      </c>
      <c r="C35" s="167">
        <f>IF(ISERROR(B35/SUM($B$32,$B$34,$B$35,$B$36,$B$38,$B$39)*100),0,B35/SUM($B$32,$B$34,$B$35,$B$36,$B$38,$B$39)*100)</f>
        <v>18.683114959262383</v>
      </c>
      <c r="D35" s="233"/>
      <c r="G35" s="15"/>
    </row>
    <row r="36" spans="1:7">
      <c r="A36" s="171" t="s">
        <v>74</v>
      </c>
      <c r="B36" s="33">
        <f>IF((($B$28-$B$32-$B$39-$B$77-$B$38)*C22/100)&lt;0,0,($B$28-$B$32-$B$39-$B$77-$B$38)*C22/100)</f>
        <v>304.83870967741933</v>
      </c>
      <c r="C36" s="167">
        <f>IF(ISERROR(B36/SUM($B$32,$B$34,$B$35,$B$36,$B$38,$B$39)*100),0,B36/SUM($B$32,$B$34,$B$35,$B$36,$B$38,$B$39)*100)</f>
        <v>4.8272163052639643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4390</v>
      </c>
      <c r="C44" s="34" t="s">
        <v>110</v>
      </c>
      <c r="D44" s="174"/>
    </row>
    <row r="45" spans="1:7">
      <c r="A45" s="171" t="s">
        <v>71</v>
      </c>
      <c r="B45" s="33" t="str">
        <f t="shared" si="0"/>
        <v>-</v>
      </c>
      <c r="C45" s="34" t="s">
        <v>110</v>
      </c>
      <c r="D45" s="174"/>
    </row>
    <row r="46" spans="1:7">
      <c r="A46" s="171" t="s">
        <v>72</v>
      </c>
      <c r="B46" s="33">
        <f t="shared" si="0"/>
        <v>440.32258064516122</v>
      </c>
      <c r="C46" s="34" t="s">
        <v>110</v>
      </c>
      <c r="D46" s="174"/>
    </row>
    <row r="47" spans="1:7">
      <c r="A47" s="171" t="s">
        <v>73</v>
      </c>
      <c r="B47" s="33">
        <f t="shared" si="0"/>
        <v>1179.8387096774195</v>
      </c>
      <c r="C47" s="34" t="s">
        <v>110</v>
      </c>
      <c r="D47" s="174"/>
    </row>
    <row r="48" spans="1:7">
      <c r="A48" s="171" t="s">
        <v>74</v>
      </c>
      <c r="B48" s="33">
        <f t="shared" si="0"/>
        <v>304.83870967741933</v>
      </c>
      <c r="C48" s="33">
        <f>B48*10</f>
        <v>3048.3870967741932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241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108</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36059.934451999994</v>
      </c>
      <c r="C5" s="17">
        <f>IF(ISERROR('Eigen informatie GS &amp; warmtenet'!B60),0,'Eigen informatie GS &amp; warmtenet'!B60)</f>
        <v>0</v>
      </c>
      <c r="D5" s="30">
        <f>SUM(D6:D12)</f>
        <v>30539.676825651</v>
      </c>
      <c r="E5" s="17">
        <f>SUM(E6:E12)</f>
        <v>117.44847112736889</v>
      </c>
      <c r="F5" s="17">
        <f>SUM(F6:F12)</f>
        <v>5915.3180478628365</v>
      </c>
      <c r="G5" s="18"/>
      <c r="H5" s="17"/>
      <c r="I5" s="17"/>
      <c r="J5" s="17">
        <f>SUM(J6:J12)</f>
        <v>4.5485553510532788E-2</v>
      </c>
      <c r="K5" s="17"/>
      <c r="L5" s="17"/>
      <c r="M5" s="17"/>
      <c r="N5" s="17">
        <f>SUM(N6:N12)</f>
        <v>1721.5350724244738</v>
      </c>
      <c r="O5" s="17">
        <f>B38*B39*B40</f>
        <v>4.8972607658411542</v>
      </c>
      <c r="P5" s="17">
        <f>B46*B47*B48/1000-B46*B47*B48/1000/B49</f>
        <v>157.61741491948504</v>
      </c>
      <c r="R5" s="32"/>
    </row>
    <row r="6" spans="1:18">
      <c r="A6" s="32" t="s">
        <v>53</v>
      </c>
      <c r="B6" s="37">
        <f>B26</f>
        <v>5240.8239009999998</v>
      </c>
      <c r="C6" s="33"/>
      <c r="D6" s="37">
        <f>IF(ISERROR(TER_kantoor_gas_kWh/1000),0,TER_kantoor_gas_kWh/1000)*0.903</f>
        <v>5143.2347987999992</v>
      </c>
      <c r="E6" s="33">
        <f>$C$26*'E Balans VL '!I12/100/3.6*1000000</f>
        <v>1.2555768342920366</v>
      </c>
      <c r="F6" s="33">
        <f>$C$26*('E Balans VL '!L12+'E Balans VL '!N12)/100/3.6*1000000</f>
        <v>496.98117501971853</v>
      </c>
      <c r="G6" s="34"/>
      <c r="H6" s="33"/>
      <c r="I6" s="33"/>
      <c r="J6" s="33">
        <f>$C$26*('E Balans VL '!D12+'E Balans VL '!E12)/100/3.6*1000000</f>
        <v>0</v>
      </c>
      <c r="K6" s="33"/>
      <c r="L6" s="33"/>
      <c r="M6" s="33"/>
      <c r="N6" s="33">
        <f>$C$26*'E Balans VL '!Y12/100/3.6*1000000</f>
        <v>2.6620674669266702</v>
      </c>
      <c r="O6" s="33"/>
      <c r="P6" s="33"/>
      <c r="R6" s="32"/>
    </row>
    <row r="7" spans="1:18">
      <c r="A7" s="32" t="s">
        <v>52</v>
      </c>
      <c r="B7" s="37">
        <f t="shared" ref="B7:B12" si="0">B27</f>
        <v>2208.6340909999999</v>
      </c>
      <c r="C7" s="33"/>
      <c r="D7" s="37">
        <f>IF(ISERROR(TER_horeca_gas_kWh/1000),0,TER_horeca_gas_kWh/1000)*0.903</f>
        <v>4722.5600122470005</v>
      </c>
      <c r="E7" s="33">
        <f>$C$27*'E Balans VL '!I9/100/3.6*1000000</f>
        <v>0</v>
      </c>
      <c r="F7" s="33">
        <f>$C$27*('E Balans VL '!L9+'E Balans VL '!N9)/100/3.6*1000000</f>
        <v>181.10280364947832</v>
      </c>
      <c r="G7" s="34"/>
      <c r="H7" s="33"/>
      <c r="I7" s="33"/>
      <c r="J7" s="33">
        <f>$C$27*('E Balans VL '!D9+'E Balans VL '!E9)/100/3.6*1000000</f>
        <v>0</v>
      </c>
      <c r="K7" s="33"/>
      <c r="L7" s="33"/>
      <c r="M7" s="33"/>
      <c r="N7" s="33">
        <f>$C$27*'E Balans VL '!Y9/100/3.6*1000000</f>
        <v>0.6770350853019087</v>
      </c>
      <c r="O7" s="33"/>
      <c r="P7" s="33"/>
      <c r="R7" s="32"/>
    </row>
    <row r="8" spans="1:18">
      <c r="A8" s="6" t="s">
        <v>51</v>
      </c>
      <c r="B8" s="37">
        <f t="shared" si="0"/>
        <v>14291.950664</v>
      </c>
      <c r="C8" s="33"/>
      <c r="D8" s="37">
        <f>IF(ISERROR(TER_handel_gas_kWh/1000),0,TER_handel_gas_kWh/1000)*0.903</f>
        <v>4780.9217781570005</v>
      </c>
      <c r="E8" s="33">
        <f>$C$28*'E Balans VL '!I13/100/3.6*1000000</f>
        <v>50.228395273986045</v>
      </c>
      <c r="F8" s="33">
        <f>$C$28*('E Balans VL '!L13+'E Balans VL '!N13)/100/3.6*1000000</f>
        <v>1307.6878198079171</v>
      </c>
      <c r="G8" s="34"/>
      <c r="H8" s="33"/>
      <c r="I8" s="33"/>
      <c r="J8" s="33">
        <f>$C$28*('E Balans VL '!D13+'E Balans VL '!E13)/100/3.6*1000000</f>
        <v>0</v>
      </c>
      <c r="K8" s="33"/>
      <c r="L8" s="33"/>
      <c r="M8" s="33"/>
      <c r="N8" s="33">
        <f>$C$28*'E Balans VL '!Y13/100/3.6*1000000</f>
        <v>5.1759292389976554</v>
      </c>
      <c r="O8" s="33"/>
      <c r="P8" s="33"/>
      <c r="R8" s="32"/>
    </row>
    <row r="9" spans="1:18">
      <c r="A9" s="32" t="s">
        <v>50</v>
      </c>
      <c r="B9" s="37">
        <f t="shared" si="0"/>
        <v>9179.9378589999997</v>
      </c>
      <c r="C9" s="33"/>
      <c r="D9" s="37">
        <f>IF(ISERROR(TER_gezond_gas_kWh/1000),0,TER_gezond_gas_kWh/1000)*0.903</f>
        <v>12182.348336361001</v>
      </c>
      <c r="E9" s="33">
        <f>$C$29*'E Balans VL '!I10/100/3.6*1000000</f>
        <v>0</v>
      </c>
      <c r="F9" s="33">
        <f>$C$29*('E Balans VL '!L10+'E Balans VL '!N10)/100/3.6*1000000</f>
        <v>1125.291810789284</v>
      </c>
      <c r="G9" s="34"/>
      <c r="H9" s="33"/>
      <c r="I9" s="33"/>
      <c r="J9" s="33">
        <f>$C$29*('E Balans VL '!D10+'E Balans VL '!E10)/100/3.6*1000000</f>
        <v>0</v>
      </c>
      <c r="K9" s="33"/>
      <c r="L9" s="33"/>
      <c r="M9" s="33"/>
      <c r="N9" s="33">
        <f>$C$29*'E Balans VL '!Y10/100/3.6*1000000</f>
        <v>67.695644626039964</v>
      </c>
      <c r="O9" s="33"/>
      <c r="P9" s="33"/>
      <c r="R9" s="32"/>
    </row>
    <row r="10" spans="1:18">
      <c r="A10" s="32" t="s">
        <v>49</v>
      </c>
      <c r="B10" s="37">
        <f t="shared" si="0"/>
        <v>4605.7494989999996</v>
      </c>
      <c r="C10" s="33"/>
      <c r="D10" s="37">
        <f>IF(ISERROR(TER_ander_gas_kWh/1000),0,TER_ander_gas_kWh/1000)*0.903</f>
        <v>2513.4418971059999</v>
      </c>
      <c r="E10" s="33">
        <f>$C$30*'E Balans VL '!I14/100/3.6*1000000</f>
        <v>65.964499019090809</v>
      </c>
      <c r="F10" s="33">
        <f>$C$30*('E Balans VL '!L14+'E Balans VL '!N14)/100/3.6*1000000</f>
        <v>2741.9592799341685</v>
      </c>
      <c r="G10" s="34"/>
      <c r="H10" s="33"/>
      <c r="I10" s="33"/>
      <c r="J10" s="33">
        <f>$C$30*('E Balans VL '!D14+'E Balans VL '!E14)/100/3.6*1000000</f>
        <v>4.5485553510532788E-2</v>
      </c>
      <c r="K10" s="33"/>
      <c r="L10" s="33"/>
      <c r="M10" s="33"/>
      <c r="N10" s="33">
        <f>$C$30*'E Balans VL '!Y14/100/3.6*1000000</f>
        <v>1643.8239841522859</v>
      </c>
      <c r="O10" s="33"/>
      <c r="P10" s="33"/>
      <c r="R10" s="32"/>
    </row>
    <row r="11" spans="1:18">
      <c r="A11" s="32" t="s">
        <v>54</v>
      </c>
      <c r="B11" s="37">
        <f t="shared" si="0"/>
        <v>532.838438</v>
      </c>
      <c r="C11" s="33"/>
      <c r="D11" s="37">
        <f>IF(ISERROR(TER_onderwijs_gas_kWh/1000),0,TER_onderwijs_gas_kWh/1000)*0.903</f>
        <v>1197.1700029799999</v>
      </c>
      <c r="E11" s="33">
        <f>$C$31*'E Balans VL '!I11/100/3.6*1000000</f>
        <v>0</v>
      </c>
      <c r="F11" s="33">
        <f>$C$31*('E Balans VL '!L11+'E Balans VL '!N11)/100/3.6*1000000</f>
        <v>62.295158662269209</v>
      </c>
      <c r="G11" s="34"/>
      <c r="H11" s="33"/>
      <c r="I11" s="33"/>
      <c r="J11" s="33">
        <f>$C$31*('E Balans VL '!D11+'E Balans VL '!E11)/100/3.6*1000000</f>
        <v>0</v>
      </c>
      <c r="K11" s="33"/>
      <c r="L11" s="33"/>
      <c r="M11" s="33"/>
      <c r="N11" s="33">
        <f>$C$31*'E Balans VL '!Y11/100/3.6*1000000</f>
        <v>1.5004118549215457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36059.934451999994</v>
      </c>
      <c r="C16" s="21">
        <f t="shared" ca="1" si="1"/>
        <v>0</v>
      </c>
      <c r="D16" s="21">
        <f t="shared" ca="1" si="1"/>
        <v>30539.676825651</v>
      </c>
      <c r="E16" s="21">
        <f t="shared" si="1"/>
        <v>117.44847112736889</v>
      </c>
      <c r="F16" s="21">
        <f t="shared" ca="1" si="1"/>
        <v>5915.3180478628365</v>
      </c>
      <c r="G16" s="21">
        <f t="shared" si="1"/>
        <v>0</v>
      </c>
      <c r="H16" s="21">
        <f t="shared" si="1"/>
        <v>0</v>
      </c>
      <c r="I16" s="21">
        <f t="shared" si="1"/>
        <v>0</v>
      </c>
      <c r="J16" s="21">
        <f t="shared" si="1"/>
        <v>4.5485553510532788E-2</v>
      </c>
      <c r="K16" s="21">
        <f t="shared" si="1"/>
        <v>0</v>
      </c>
      <c r="L16" s="21">
        <f t="shared" ca="1" si="1"/>
        <v>0</v>
      </c>
      <c r="M16" s="21">
        <f t="shared" si="1"/>
        <v>0</v>
      </c>
      <c r="N16" s="21">
        <f t="shared" ca="1" si="1"/>
        <v>1721.5350724244738</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0.18094590146939146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6524.8973463443053</v>
      </c>
      <c r="C20" s="23">
        <f t="shared" ref="C20:P20" ca="1" si="2">C16*C18</f>
        <v>0</v>
      </c>
      <c r="D20" s="23">
        <f t="shared" ca="1" si="2"/>
        <v>6169.0147187815028</v>
      </c>
      <c r="E20" s="23">
        <f t="shared" si="2"/>
        <v>26.660802945912739</v>
      </c>
      <c r="F20" s="23">
        <f t="shared" ca="1" si="2"/>
        <v>1579.3899187793775</v>
      </c>
      <c r="G20" s="23">
        <f t="shared" si="2"/>
        <v>0</v>
      </c>
      <c r="H20" s="23">
        <f t="shared" si="2"/>
        <v>0</v>
      </c>
      <c r="I20" s="23">
        <f t="shared" si="2"/>
        <v>0</v>
      </c>
      <c r="J20" s="23">
        <f t="shared" si="2"/>
        <v>1.6101885942728607E-2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5240.8239009999998</v>
      </c>
      <c r="C26" s="39">
        <f>IF(ISERROR(B26*3.6/1000000/'E Balans VL '!Z12*100),0,B26*3.6/1000000/'E Balans VL '!Z12*100)</f>
        <v>0.14780511241255595</v>
      </c>
      <c r="D26" s="237" t="s">
        <v>702</v>
      </c>
      <c r="F26" s="6"/>
    </row>
    <row r="27" spans="1:18">
      <c r="A27" s="231" t="s">
        <v>52</v>
      </c>
      <c r="B27" s="33">
        <f>IF(ISERROR(TER_horeca_ele_kWh/1000),0,TER_horeca_ele_kWh/1000)</f>
        <v>2208.6340909999999</v>
      </c>
      <c r="C27" s="39">
        <f>IF(ISERROR(B27*3.6/1000000/'E Balans VL '!Z9*100),0,B27*3.6/1000000/'E Balans VL '!Z9*100)</f>
        <v>0.1637430854907222</v>
      </c>
      <c r="D27" s="237" t="s">
        <v>702</v>
      </c>
      <c r="F27" s="6"/>
    </row>
    <row r="28" spans="1:18">
      <c r="A28" s="171" t="s">
        <v>51</v>
      </c>
      <c r="B28" s="33">
        <f>IF(ISERROR(TER_handel_ele_kWh/1000),0,TER_handel_ele_kWh/1000)</f>
        <v>14291.950664</v>
      </c>
      <c r="C28" s="39">
        <f>IF(ISERROR(B28*3.6/1000000/'E Balans VL '!Z13*100),0,B28*3.6/1000000/'E Balans VL '!Z13*100)</f>
        <v>0.42815286151205167</v>
      </c>
      <c r="D28" s="237" t="s">
        <v>702</v>
      </c>
      <c r="F28" s="6"/>
    </row>
    <row r="29" spans="1:18">
      <c r="A29" s="231" t="s">
        <v>50</v>
      </c>
      <c r="B29" s="33">
        <f>IF(ISERROR(TER_gezond_ele_kWh/1000),0,TER_gezond_ele_kWh/1000)</f>
        <v>9179.9378589999997</v>
      </c>
      <c r="C29" s="39">
        <f>IF(ISERROR(B29*3.6/1000000/'E Balans VL '!Z10*100),0,B29*3.6/1000000/'E Balans VL '!Z10*100)</f>
        <v>0.90771585355723128</v>
      </c>
      <c r="D29" s="237" t="s">
        <v>702</v>
      </c>
      <c r="F29" s="6"/>
    </row>
    <row r="30" spans="1:18">
      <c r="A30" s="231" t="s">
        <v>49</v>
      </c>
      <c r="B30" s="33">
        <f>IF(ISERROR(TER_ander_ele_kWh/1000),0,TER_ander_ele_kWh/1000)</f>
        <v>4605.7494989999996</v>
      </c>
      <c r="C30" s="39">
        <f>IF(ISERROR(B30*3.6/1000000/'E Balans VL '!Z14*100),0,B30*3.6/1000000/'E Balans VL '!Z14*100)</f>
        <v>0.18628895635713083</v>
      </c>
      <c r="D30" s="237" t="s">
        <v>702</v>
      </c>
      <c r="F30" s="6"/>
    </row>
    <row r="31" spans="1:18">
      <c r="A31" s="231" t="s">
        <v>54</v>
      </c>
      <c r="B31" s="33">
        <f>IF(ISERROR(TER_onderwijs_ele_kWh/1000),0,TER_onderwijs_ele_kWh/1000)</f>
        <v>532.838438</v>
      </c>
      <c r="C31" s="39">
        <f>IF(ISERROR(B31*3.6/1000000/'E Balans VL '!Z11*100),0,B31*3.6/1000000/'E Balans VL '!Z11*100)</f>
        <v>0.14639402241375324</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51966.586395999999</v>
      </c>
      <c r="C5" s="17">
        <f>IF(ISERROR('Eigen informatie GS &amp; warmtenet'!B61),0,'Eigen informatie GS &amp; warmtenet'!B61)</f>
        <v>0</v>
      </c>
      <c r="D5" s="30">
        <f>SUM(D6:D15)</f>
        <v>127713.543227004</v>
      </c>
      <c r="E5" s="17">
        <f>SUM(E6:E15)</f>
        <v>187.63827131392989</v>
      </c>
      <c r="F5" s="17">
        <f>SUM(F6:F15)</f>
        <v>15568.932466680692</v>
      </c>
      <c r="G5" s="18"/>
      <c r="H5" s="17"/>
      <c r="I5" s="17"/>
      <c r="J5" s="17">
        <f>SUM(J6:J15)</f>
        <v>20.13385371166547</v>
      </c>
      <c r="K5" s="17"/>
      <c r="L5" s="17"/>
      <c r="M5" s="17"/>
      <c r="N5" s="17">
        <f>SUM(N6:N15)</f>
        <v>1311.28595099326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22518.102063999999</v>
      </c>
      <c r="C8" s="33"/>
      <c r="D8" s="37">
        <f>IF( ISERROR(IND_metaal_Gas_kWH/1000),0,IND_metaal_Gas_kWH/1000)*0.903</f>
        <v>53941.352766147</v>
      </c>
      <c r="E8" s="33">
        <f>C30*'E Balans VL '!I18/100/3.6*1000000</f>
        <v>113.54019954995462</v>
      </c>
      <c r="F8" s="33">
        <f>C30*'E Balans VL '!L18/100/3.6*1000000+C30*'E Balans VL '!N18/100/3.6*1000000</f>
        <v>1538.4827476512739</v>
      </c>
      <c r="G8" s="34"/>
      <c r="H8" s="33"/>
      <c r="I8" s="33"/>
      <c r="J8" s="40">
        <f>C30*'E Balans VL '!D18/100/3.6*1000000+C30*'E Balans VL '!E18/100/3.6*1000000</f>
        <v>19.964218298586967</v>
      </c>
      <c r="K8" s="33"/>
      <c r="L8" s="33"/>
      <c r="M8" s="33"/>
      <c r="N8" s="33">
        <f>C30*'E Balans VL '!Y18/100/3.6*1000000</f>
        <v>299.26571006485119</v>
      </c>
      <c r="O8" s="33"/>
      <c r="P8" s="33"/>
      <c r="R8" s="32"/>
    </row>
    <row r="9" spans="1:18">
      <c r="A9" s="6" t="s">
        <v>32</v>
      </c>
      <c r="B9" s="37">
        <f t="shared" si="0"/>
        <v>22882.211109</v>
      </c>
      <c r="C9" s="33"/>
      <c r="D9" s="37">
        <f>IF( ISERROR(IND_andere_gas_kWh/1000),0,IND_andere_gas_kWh/1000)*0.903</f>
        <v>10645.945271241</v>
      </c>
      <c r="E9" s="33">
        <f>C31*'E Balans VL '!I19/100/3.6*1000000</f>
        <v>72.130137472979143</v>
      </c>
      <c r="F9" s="33">
        <f>C31*'E Balans VL '!L19/100/3.6*1000000+C31*'E Balans VL '!N19/100/3.6*1000000</f>
        <v>14007.527244616445</v>
      </c>
      <c r="G9" s="34"/>
      <c r="H9" s="33"/>
      <c r="I9" s="33"/>
      <c r="J9" s="40">
        <f>C31*'E Balans VL '!D19/100/3.6*1000000+C31*'E Balans VL '!E19/100/3.6*1000000</f>
        <v>0</v>
      </c>
      <c r="K9" s="33"/>
      <c r="L9" s="33"/>
      <c r="M9" s="33"/>
      <c r="N9" s="33">
        <f>C31*'E Balans VL '!Y19/100/3.6*1000000</f>
        <v>959.48218174401734</v>
      </c>
      <c r="O9" s="33"/>
      <c r="P9" s="33"/>
      <c r="R9" s="32"/>
    </row>
    <row r="10" spans="1:18">
      <c r="A10" s="6" t="s">
        <v>40</v>
      </c>
      <c r="B10" s="37">
        <f t="shared" si="0"/>
        <v>231.39459299999999</v>
      </c>
      <c r="C10" s="33"/>
      <c r="D10" s="37">
        <f>IF( ISERROR(IND_voed_gas_kWh/1000),0,IND_voed_gas_kWh/1000)*0.903</f>
        <v>265.58418709199998</v>
      </c>
      <c r="E10" s="33">
        <f>C32*'E Balans VL '!I20/100/3.6*1000000</f>
        <v>0.36877799564271496</v>
      </c>
      <c r="F10" s="33">
        <f>C32*'E Balans VL '!L20/100/3.6*1000000+C32*'E Balans VL '!N20/100/3.6*1000000</f>
        <v>3.759600015064851</v>
      </c>
      <c r="G10" s="34"/>
      <c r="H10" s="33"/>
      <c r="I10" s="33"/>
      <c r="J10" s="40">
        <f>C32*'E Balans VL '!D20/100/3.6*1000000+C32*'E Balans VL '!E20/100/3.6*1000000</f>
        <v>0</v>
      </c>
      <c r="K10" s="33"/>
      <c r="L10" s="33"/>
      <c r="M10" s="33"/>
      <c r="N10" s="33">
        <f>C32*'E Balans VL '!Y20/100/3.6*1000000</f>
        <v>7.3085969175980372</v>
      </c>
      <c r="O10" s="33"/>
      <c r="P10" s="33"/>
      <c r="R10" s="32"/>
    </row>
    <row r="11" spans="1:18">
      <c r="A11" s="6" t="s">
        <v>39</v>
      </c>
      <c r="B11" s="37">
        <f t="shared" si="0"/>
        <v>924.85705700000005</v>
      </c>
      <c r="C11" s="33"/>
      <c r="D11" s="37">
        <f>IF( ISERROR(IND_textiel_gas_kWh/1000),0,IND_textiel_gas_kWh/1000)*0.903</f>
        <v>3529.8713996070005</v>
      </c>
      <c r="E11" s="33">
        <f>C33*'E Balans VL '!I21/100/3.6*1000000</f>
        <v>1.3417985918317779</v>
      </c>
      <c r="F11" s="33">
        <f>C33*'E Balans VL '!L21/100/3.6*1000000+C33*'E Balans VL '!N21/100/3.6*1000000</f>
        <v>18.100046842021225</v>
      </c>
      <c r="G11" s="34"/>
      <c r="H11" s="33"/>
      <c r="I11" s="33"/>
      <c r="J11" s="40">
        <f>C33*'E Balans VL '!D21/100/3.6*1000000+C33*'E Balans VL '!E21/100/3.6*1000000</f>
        <v>0</v>
      </c>
      <c r="K11" s="33"/>
      <c r="L11" s="33"/>
      <c r="M11" s="33"/>
      <c r="N11" s="33">
        <f>C33*'E Balans VL '!Y21/100/3.6*1000000</f>
        <v>45.056936814132115</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5399.8113099999991</v>
      </c>
      <c r="C13" s="33"/>
      <c r="D13" s="37">
        <f>IF( ISERROR(IND_papier_gas_kWh/1000),0,IND_papier_gas_kWh/1000)*0.903</f>
        <v>0</v>
      </c>
      <c r="E13" s="33">
        <f>C35*'E Balans VL '!I23/100/3.6*1000000</f>
        <v>0</v>
      </c>
      <c r="F13" s="33">
        <f>C35*'E Balans VL '!L23/100/3.6*1000000+C35*'E Balans VL '!N23/100/3.6*1000000</f>
        <v>0.23394493442305969</v>
      </c>
      <c r="G13" s="34"/>
      <c r="H13" s="33"/>
      <c r="I13" s="33"/>
      <c r="J13" s="40">
        <f>C35*'E Balans VL '!D23/100/3.6*1000000+C35*'E Balans VL '!E23/100/3.6*1000000</f>
        <v>0.14879055470563654</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10.210263000000001</v>
      </c>
      <c r="C15" s="33"/>
      <c r="D15" s="37">
        <f>IF( ISERROR(IND_rest_gas_kWh/1000),0,IND_rest_gas_kWh/1000)*0.903</f>
        <v>59330.789602917001</v>
      </c>
      <c r="E15" s="33">
        <f>C37*'E Balans VL '!I15/100/3.6*1000000</f>
        <v>0.25735770352160758</v>
      </c>
      <c r="F15" s="33">
        <f>C37*'E Balans VL '!L15/100/3.6*1000000+C37*'E Balans VL '!N15/100/3.6*1000000</f>
        <v>0.82888262146264691</v>
      </c>
      <c r="G15" s="34"/>
      <c r="H15" s="33"/>
      <c r="I15" s="33"/>
      <c r="J15" s="40">
        <f>C37*'E Balans VL '!D15/100/3.6*1000000+C37*'E Balans VL '!E15/100/3.6*1000000</f>
        <v>2.0844858372864681E-2</v>
      </c>
      <c r="K15" s="33"/>
      <c r="L15" s="33"/>
      <c r="M15" s="33"/>
      <c r="N15" s="33">
        <f>C37*'E Balans VL '!Y15/100/3.6*1000000</f>
        <v>0.17252545266127689</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51966.586395999999</v>
      </c>
      <c r="C18" s="21">
        <f>C5+C16</f>
        <v>0</v>
      </c>
      <c r="D18" s="21">
        <f>MAX((D5+D16),0)</f>
        <v>127713.543227004</v>
      </c>
      <c r="E18" s="21">
        <f>MAX((E5+E16),0)</f>
        <v>187.63827131392989</v>
      </c>
      <c r="F18" s="21">
        <f>MAX((F5+F16),0)</f>
        <v>15568.932466680692</v>
      </c>
      <c r="G18" s="21"/>
      <c r="H18" s="21"/>
      <c r="I18" s="21"/>
      <c r="J18" s="21">
        <f>MAX((J5+J16),0)</f>
        <v>20.13385371166547</v>
      </c>
      <c r="K18" s="21"/>
      <c r="L18" s="21">
        <f>MAX((L5+L16),0)</f>
        <v>0</v>
      </c>
      <c r="M18" s="21"/>
      <c r="N18" s="21">
        <f>MAX((N5+N16),0)</f>
        <v>1311.28595099326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0.18094590146939146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9403.1408217112348</v>
      </c>
      <c r="C22" s="23">
        <f ca="1">C18*C20</f>
        <v>0</v>
      </c>
      <c r="D22" s="23">
        <f>D18*D20</f>
        <v>25798.135731854811</v>
      </c>
      <c r="E22" s="23">
        <f>E18*E20</f>
        <v>42.593887588262085</v>
      </c>
      <c r="F22" s="23">
        <f>F18*F20</f>
        <v>4156.9049686037451</v>
      </c>
      <c r="G22" s="23"/>
      <c r="H22" s="23"/>
      <c r="I22" s="23"/>
      <c r="J22" s="23">
        <f>J18*J20</f>
        <v>7.1273842139295756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22518.102063999999</v>
      </c>
      <c r="C30" s="39">
        <f>IF(ISERROR(B30*3.6/1000000/'E Balans VL '!Z18*100),0,B30*3.6/1000000/'E Balans VL '!Z18*100)</f>
        <v>1.1177478363127973</v>
      </c>
      <c r="D30" s="237" t="s">
        <v>702</v>
      </c>
    </row>
    <row r="31" spans="1:18">
      <c r="A31" s="6" t="s">
        <v>32</v>
      </c>
      <c r="B31" s="37">
        <f>IF( ISERROR(IND_ander_ele_kWh/1000),0,IND_ander_ele_kWh/1000)</f>
        <v>22882.211109</v>
      </c>
      <c r="C31" s="39">
        <f>IF(ISERROR(B31*3.6/1000000/'E Balans VL '!Z19*100),0,B31*3.6/1000000/'E Balans VL '!Z19*100)</f>
        <v>0.77215736922382838</v>
      </c>
      <c r="D31" s="237" t="s">
        <v>702</v>
      </c>
    </row>
    <row r="32" spans="1:18">
      <c r="A32" s="171" t="s">
        <v>40</v>
      </c>
      <c r="B32" s="37">
        <f>IF( ISERROR(IND_voed_ele_kWh/1000),0,IND_voed_ele_kWh/1000)</f>
        <v>231.39459299999999</v>
      </c>
      <c r="C32" s="39">
        <f>IF(ISERROR(B32*3.6/1000000/'E Balans VL '!Z20*100),0,B32*3.6/1000000/'E Balans VL '!Z20*100)</f>
        <v>5.4341430670973969E-3</v>
      </c>
      <c r="D32" s="237" t="s">
        <v>702</v>
      </c>
    </row>
    <row r="33" spans="1:5">
      <c r="A33" s="171" t="s">
        <v>39</v>
      </c>
      <c r="B33" s="37">
        <f>IF( ISERROR(IND_textiel_ele_kWh/1000),0,IND_textiel_ele_kWh/1000)</f>
        <v>924.85705700000005</v>
      </c>
      <c r="C33" s="39">
        <f>IF(ISERROR(B33*3.6/1000000/'E Balans VL '!Z21*100),0,B33*3.6/1000000/'E Balans VL '!Z21*100)</f>
        <v>0.10150188969519648</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5399.8113099999991</v>
      </c>
      <c r="C35" s="39">
        <f>IF(ISERROR(B35*3.6/1000000/'E Balans VL '!Z22*100),0,B35*3.6/1000000/'E Balans VL '!Z22*100)</f>
        <v>0.76607532657099442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10.210263000000001</v>
      </c>
      <c r="C37" s="39">
        <f>IF(ISERROR(B37*3.6/1000000/'E Balans VL '!Z15*100),0,B37*3.6/1000000/'E Balans VL '!Z15*100)</f>
        <v>3.8263258759637682E-5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589.89002599999992</v>
      </c>
      <c r="C5" s="17">
        <f>'Eigen informatie GS &amp; warmtenet'!B62</f>
        <v>0</v>
      </c>
      <c r="D5" s="30">
        <f>IF(ISERROR(SUM(LB_lb_gas_kWh,LB_rest_gas_kWh)/1000),0,SUM(LB_lb_gas_kWh,LB_rest_gas_kWh)/1000)*0.903</f>
        <v>61.525829148000007</v>
      </c>
      <c r="E5" s="17">
        <f>B17*'E Balans VL '!I25/3.6*1000000/100</f>
        <v>21.998803414415189</v>
      </c>
      <c r="F5" s="17">
        <f>B17*('E Balans VL '!L25/3.6*1000000+'E Balans VL '!N25/3.6*1000000)/100</f>
        <v>1913.8311868225605</v>
      </c>
      <c r="G5" s="18"/>
      <c r="H5" s="17"/>
      <c r="I5" s="17"/>
      <c r="J5" s="17">
        <f>('E Balans VL '!D25+'E Balans VL '!E25)/3.6*1000000*landbouw!B17/100</f>
        <v>154.84904405727738</v>
      </c>
      <c r="K5" s="17"/>
      <c r="L5" s="17">
        <f>L6*(-1)</f>
        <v>0</v>
      </c>
      <c r="M5" s="17"/>
      <c r="N5" s="17">
        <f>N6*(-1)</f>
        <v>124.71428571428569</v>
      </c>
      <c r="O5" s="17"/>
      <c r="P5" s="17"/>
      <c r="R5" s="32"/>
    </row>
    <row r="6" spans="1:18">
      <c r="A6" s="16" t="s">
        <v>479</v>
      </c>
      <c r="B6" s="17" t="s">
        <v>210</v>
      </c>
      <c r="C6" s="17">
        <f>'lokale energieproductie'!O39+'lokale energieproductie'!O32</f>
        <v>62.357142857142847</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589.89002599999992</v>
      </c>
      <c r="C8" s="21">
        <f>C5+C6</f>
        <v>62.357142857142847</v>
      </c>
      <c r="D8" s="21">
        <f>MAX((D5+D6),0)</f>
        <v>61.525829148000007</v>
      </c>
      <c r="E8" s="21">
        <f>MAX((E5+E6),0)</f>
        <v>21.998803414415189</v>
      </c>
      <c r="F8" s="21">
        <f>MAX((F5+F6),0)</f>
        <v>1913.8311868225605</v>
      </c>
      <c r="G8" s="21"/>
      <c r="H8" s="21"/>
      <c r="I8" s="21"/>
      <c r="J8" s="21">
        <f>MAX((J5+J6),0)</f>
        <v>154.84904405727738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0.18094590146939146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106.73818252237275</v>
      </c>
      <c r="C12" s="23">
        <f ca="1">C8*C10</f>
        <v>0</v>
      </c>
      <c r="D12" s="23">
        <f>D8*D10</f>
        <v>12.428217487896003</v>
      </c>
      <c r="E12" s="23">
        <f>E8*E10</f>
        <v>4.9937283750722479</v>
      </c>
      <c r="F12" s="23">
        <f>F8*F10</f>
        <v>510.9929268816237</v>
      </c>
      <c r="G12" s="23"/>
      <c r="H12" s="23"/>
      <c r="I12" s="23"/>
      <c r="J12" s="23">
        <f>J8*J10</f>
        <v>54.816561596276188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8.1019855742250263E-2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250.64976293948388</v>
      </c>
      <c r="C26" s="247">
        <f>B26*'GWP N2O_CH4'!B5</f>
        <v>5263.6450217291613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59.589777134223489</v>
      </c>
      <c r="C27" s="247">
        <f>B27*'GWP N2O_CH4'!B5</f>
        <v>1251.3853198186932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4.0124237851185294</v>
      </c>
      <c r="C28" s="247">
        <f>B28*'GWP N2O_CH4'!B4</f>
        <v>1243.8513733867442</v>
      </c>
      <c r="D28" s="50"/>
    </row>
    <row r="29" spans="1:4">
      <c r="A29" s="41" t="s">
        <v>276</v>
      </c>
      <c r="B29" s="247">
        <f>B34*'ha_N2O bodem landbouw'!B4</f>
        <v>7.5165780460700224</v>
      </c>
      <c r="C29" s="247">
        <f>B29*'GWP N2O_CH4'!B4</f>
        <v>2330.1391942817068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1.7130496026322103E-3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2.6382787847045936E-4</v>
      </c>
      <c r="C5" s="440" t="s">
        <v>210</v>
      </c>
      <c r="D5" s="425">
        <f>SUM(D6:D11)</f>
        <v>1.0881919133093375E-3</v>
      </c>
      <c r="E5" s="425">
        <f>SUM(E6:E11)</f>
        <v>5.824843789951421E-4</v>
      </c>
      <c r="F5" s="438" t="s">
        <v>210</v>
      </c>
      <c r="G5" s="425">
        <f>SUM(G6:G11)</f>
        <v>0.27260266361383828</v>
      </c>
      <c r="H5" s="425">
        <f>SUM(H6:H11)</f>
        <v>6.9331733737239706E-2</v>
      </c>
      <c r="I5" s="440" t="s">
        <v>210</v>
      </c>
      <c r="J5" s="440" t="s">
        <v>210</v>
      </c>
      <c r="K5" s="440" t="s">
        <v>210</v>
      </c>
      <c r="L5" s="440" t="s">
        <v>210</v>
      </c>
      <c r="M5" s="425">
        <f>SUM(M6:M11)</f>
        <v>2.0167610589800371E-2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2.0992088988449649E-4</v>
      </c>
      <c r="C6" s="426"/>
      <c r="D6" s="893">
        <f>vkm_GW_PW*SUMIFS(TableVerdeelsleutelVkm[CNG],TableVerdeelsleutelVkm[Voertuigtype],"Lichte voertuigen")*SUMIFS(TableECFTransport[EnergieConsumptieFactor (PJ per km)],TableECFTransport[Index],CONCATENATE($A6,"_CNG_CNG"))</f>
        <v>7.5817019273127708E-4</v>
      </c>
      <c r="E6" s="893">
        <f>vkm_GW_PW*SUMIFS(TableVerdeelsleutelVkm[LPG],TableVerdeelsleutelVkm[Voertuigtype],"Lichte voertuigen")*SUMIFS(TableECFTransport[EnergieConsumptieFactor (PJ per km)],TableECFTransport[Index],CONCATENATE($A6,"_LPG_LPG"))</f>
        <v>4.1204603852277596E-4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0.12822618843159703</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4.8528463787270937E-2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1.0592877930559194E-2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8.4226728834505993E-2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8.8670051393630575E-7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4.7420967609879284E-3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5.3906988585962849E-5</v>
      </c>
      <c r="C8" s="426"/>
      <c r="D8" s="428">
        <f>vkm_NGW_PW*SUMIFS(TableVerdeelsleutelVkm[CNG],TableVerdeelsleutelVkm[Voertuigtype],"Lichte voertuigen")*SUMIFS(TableECFTransport[EnergieConsumptieFactor (PJ per km)],TableECFTransport[Index],CONCATENATE($A8,"_CNG_CNG"))</f>
        <v>3.3002172057806044E-4</v>
      </c>
      <c r="E8" s="428">
        <f>vkm_NGW_PW*SUMIFS(TableVerdeelsleutelVkm[LPG],TableVerdeelsleutelVkm[Voertuigtype],"Lichte voertuigen")*SUMIFS(TableECFTransport[EnergieConsumptieFactor (PJ per km)],TableECFTransport[Index],CONCATENATE($A8,"_LPG_LPG"))</f>
        <v>1.7043834047236614E-4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4.93589854666623E-2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2.0802218250191247E-2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4.2250955854629202E-3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1.0790760881072961E-2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1.6499926359125733E-7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6.0754031279033026E-4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73.28552179734983</v>
      </c>
      <c r="C14" s="21"/>
      <c r="D14" s="21">
        <f t="shared" ref="D14:M14" si="0">((D5)*10^9/3600)+D12</f>
        <v>302.27553147481598</v>
      </c>
      <c r="E14" s="21">
        <f t="shared" si="0"/>
        <v>161.80121638753945</v>
      </c>
      <c r="F14" s="21"/>
      <c r="G14" s="21">
        <f t="shared" si="0"/>
        <v>75722.962114955066</v>
      </c>
      <c r="H14" s="21">
        <f t="shared" si="0"/>
        <v>19258.81492701103</v>
      </c>
      <c r="I14" s="21"/>
      <c r="J14" s="21"/>
      <c r="K14" s="21"/>
      <c r="L14" s="21"/>
      <c r="M14" s="21">
        <f t="shared" si="0"/>
        <v>5602.1140527223251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0.18094590146939146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13.260714806276203</v>
      </c>
      <c r="C18" s="23"/>
      <c r="D18" s="23">
        <f t="shared" ref="D18:M18" si="1">D14*D16</f>
        <v>61.059657357912833</v>
      </c>
      <c r="E18" s="23">
        <f t="shared" si="1"/>
        <v>36.72887611997146</v>
      </c>
      <c r="F18" s="23"/>
      <c r="G18" s="23">
        <f t="shared" si="1"/>
        <v>20218.030884693002</v>
      </c>
      <c r="H18" s="23">
        <f t="shared" si="1"/>
        <v>4795.4449168257461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6.8672818269060265E-3</v>
      </c>
      <c r="H50" s="321">
        <f t="shared" si="2"/>
        <v>0</v>
      </c>
      <c r="I50" s="321">
        <f t="shared" si="2"/>
        <v>0</v>
      </c>
      <c r="J50" s="321">
        <f t="shared" si="2"/>
        <v>0</v>
      </c>
      <c r="K50" s="321">
        <f t="shared" si="2"/>
        <v>0</v>
      </c>
      <c r="L50" s="321">
        <f t="shared" si="2"/>
        <v>0</v>
      </c>
      <c r="M50" s="321">
        <f t="shared" si="2"/>
        <v>3.7265782513829372E-4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6.8672818269060265E-3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3.7265782513829372E-4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1907.5782852516741</v>
      </c>
      <c r="H54" s="21">
        <f t="shared" si="3"/>
        <v>0</v>
      </c>
      <c r="I54" s="21">
        <f t="shared" si="3"/>
        <v>0</v>
      </c>
      <c r="J54" s="21">
        <f t="shared" si="3"/>
        <v>0</v>
      </c>
      <c r="K54" s="21">
        <f t="shared" si="3"/>
        <v>0</v>
      </c>
      <c r="L54" s="21">
        <f t="shared" si="3"/>
        <v>0</v>
      </c>
      <c r="M54" s="21">
        <f t="shared" si="3"/>
        <v>103.51606253841493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0.18094590146939146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509.323402162197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37135.412820999991</v>
      </c>
      <c r="D10" s="689">
        <f ca="1">tertiair!C16</f>
        <v>0</v>
      </c>
      <c r="E10" s="689">
        <f ca="1">tertiair!D16</f>
        <v>30539.676825651</v>
      </c>
      <c r="F10" s="689">
        <f>tertiair!E16</f>
        <v>117.44847112736889</v>
      </c>
      <c r="G10" s="689">
        <f ca="1">tertiair!F16</f>
        <v>5915.3180478628365</v>
      </c>
      <c r="H10" s="689">
        <f>tertiair!G16</f>
        <v>0</v>
      </c>
      <c r="I10" s="689">
        <f>tertiair!H16</f>
        <v>0</v>
      </c>
      <c r="J10" s="689">
        <f>tertiair!I16</f>
        <v>0</v>
      </c>
      <c r="K10" s="689">
        <f>tertiair!J16</f>
        <v>4.5485553510532788E-2</v>
      </c>
      <c r="L10" s="689">
        <f>tertiair!K16</f>
        <v>0</v>
      </c>
      <c r="M10" s="689">
        <f ca="1">tertiair!L16</f>
        <v>0</v>
      </c>
      <c r="N10" s="689">
        <f>tertiair!M16</f>
        <v>0</v>
      </c>
      <c r="O10" s="689">
        <f ca="1">tertiair!N16</f>
        <v>1721.5350724244738</v>
      </c>
      <c r="P10" s="689">
        <f>tertiair!O16</f>
        <v>4.8972607658411542</v>
      </c>
      <c r="Q10" s="690">
        <f>tertiair!P16</f>
        <v>157.61741491948504</v>
      </c>
      <c r="R10" s="692">
        <f ca="1">SUM(C10:Q10)</f>
        <v>75591.951399304497</v>
      </c>
      <c r="S10" s="67"/>
    </row>
    <row r="11" spans="1:19" s="451" customFormat="1">
      <c r="A11" s="811" t="s">
        <v>224</v>
      </c>
      <c r="B11" s="816"/>
      <c r="C11" s="689">
        <f>huishoudens!B8</f>
        <v>26716.926710833486</v>
      </c>
      <c r="D11" s="689">
        <f>huishoudens!C8</f>
        <v>0</v>
      </c>
      <c r="E11" s="689">
        <f>huishoudens!D8</f>
        <v>56112.595419489182</v>
      </c>
      <c r="F11" s="689">
        <f>huishoudens!E8</f>
        <v>15834.399711444932</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20547.150538191039</v>
      </c>
      <c r="P11" s="689">
        <f>huishoudens!O8</f>
        <v>478.13393087227462</v>
      </c>
      <c r="Q11" s="690">
        <f>huishoudens!P8</f>
        <v>1137.6676052299824</v>
      </c>
      <c r="R11" s="692">
        <f>SUM(C11:Q11)</f>
        <v>120826.87391606091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51966.586395999999</v>
      </c>
      <c r="D13" s="689">
        <f>industrie!C18</f>
        <v>0</v>
      </c>
      <c r="E13" s="689">
        <f>industrie!D18</f>
        <v>127713.543227004</v>
      </c>
      <c r="F13" s="689">
        <f>industrie!E18</f>
        <v>187.63827131392989</v>
      </c>
      <c r="G13" s="689">
        <f>industrie!F18</f>
        <v>15568.932466680692</v>
      </c>
      <c r="H13" s="689">
        <f>industrie!G18</f>
        <v>0</v>
      </c>
      <c r="I13" s="689">
        <f>industrie!H18</f>
        <v>0</v>
      </c>
      <c r="J13" s="689">
        <f>industrie!I18</f>
        <v>0</v>
      </c>
      <c r="K13" s="689">
        <f>industrie!J18</f>
        <v>20.13385371166547</v>
      </c>
      <c r="L13" s="689">
        <f>industrie!K18</f>
        <v>0</v>
      </c>
      <c r="M13" s="689">
        <f>industrie!L18</f>
        <v>0</v>
      </c>
      <c r="N13" s="689">
        <f>industrie!M18</f>
        <v>0</v>
      </c>
      <c r="O13" s="689">
        <f>industrie!N18</f>
        <v>1311.28595099326</v>
      </c>
      <c r="P13" s="689">
        <f>industrie!O18</f>
        <v>0</v>
      </c>
      <c r="Q13" s="690">
        <f>industrie!P18</f>
        <v>0</v>
      </c>
      <c r="R13" s="692">
        <f>SUM(C13:Q13)</f>
        <v>196768.1201657035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115818.92592783348</v>
      </c>
      <c r="D16" s="725">
        <f t="shared" ref="D16:R16" ca="1" si="0">SUM(D9:D15)</f>
        <v>0</v>
      </c>
      <c r="E16" s="725">
        <f t="shared" ca="1" si="0"/>
        <v>214365.81547214417</v>
      </c>
      <c r="F16" s="725">
        <f t="shared" si="0"/>
        <v>16139.486453886231</v>
      </c>
      <c r="G16" s="725">
        <f t="shared" ca="1" si="0"/>
        <v>21484.250514543528</v>
      </c>
      <c r="H16" s="725">
        <f t="shared" si="0"/>
        <v>0</v>
      </c>
      <c r="I16" s="725">
        <f t="shared" si="0"/>
        <v>0</v>
      </c>
      <c r="J16" s="725">
        <f t="shared" si="0"/>
        <v>0</v>
      </c>
      <c r="K16" s="725">
        <f t="shared" si="0"/>
        <v>20.179339265176004</v>
      </c>
      <c r="L16" s="725">
        <f t="shared" si="0"/>
        <v>0</v>
      </c>
      <c r="M16" s="725">
        <f t="shared" ca="1" si="0"/>
        <v>0</v>
      </c>
      <c r="N16" s="725">
        <f t="shared" si="0"/>
        <v>0</v>
      </c>
      <c r="O16" s="725">
        <f t="shared" ca="1" si="0"/>
        <v>23579.971561608774</v>
      </c>
      <c r="P16" s="725">
        <f t="shared" si="0"/>
        <v>483.03119163811579</v>
      </c>
      <c r="Q16" s="725">
        <f t="shared" si="0"/>
        <v>1295.2850201494675</v>
      </c>
      <c r="R16" s="725">
        <f t="shared" ca="1" si="0"/>
        <v>393186.94548106892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1907.5782852516741</v>
      </c>
      <c r="I19" s="689">
        <f>transport!H54</f>
        <v>0</v>
      </c>
      <c r="J19" s="689">
        <f>transport!I54</f>
        <v>0</v>
      </c>
      <c r="K19" s="689">
        <f>transport!J54</f>
        <v>0</v>
      </c>
      <c r="L19" s="689">
        <f>transport!K54</f>
        <v>0</v>
      </c>
      <c r="M19" s="689">
        <f>transport!L54</f>
        <v>0</v>
      </c>
      <c r="N19" s="689">
        <f>transport!M54</f>
        <v>103.51606253841493</v>
      </c>
      <c r="O19" s="689">
        <f>transport!N54</f>
        <v>0</v>
      </c>
      <c r="P19" s="689">
        <f>transport!O54</f>
        <v>0</v>
      </c>
      <c r="Q19" s="690">
        <f>transport!P54</f>
        <v>0</v>
      </c>
      <c r="R19" s="692">
        <f>SUM(C19:Q19)</f>
        <v>2011.0943477900889</v>
      </c>
      <c r="S19" s="67"/>
    </row>
    <row r="20" spans="1:19" s="451" customFormat="1">
      <c r="A20" s="811" t="s">
        <v>306</v>
      </c>
      <c r="B20" s="816"/>
      <c r="C20" s="689">
        <f>transport!B14</f>
        <v>73.28552179734983</v>
      </c>
      <c r="D20" s="689">
        <f>transport!C14</f>
        <v>0</v>
      </c>
      <c r="E20" s="689">
        <f>transport!D14</f>
        <v>302.27553147481598</v>
      </c>
      <c r="F20" s="689">
        <f>transport!E14</f>
        <v>161.80121638753945</v>
      </c>
      <c r="G20" s="689">
        <f>transport!F14</f>
        <v>0</v>
      </c>
      <c r="H20" s="689">
        <f>transport!G14</f>
        <v>75722.962114955066</v>
      </c>
      <c r="I20" s="689">
        <f>transport!H14</f>
        <v>19258.81492701103</v>
      </c>
      <c r="J20" s="689">
        <f>transport!I14</f>
        <v>0</v>
      </c>
      <c r="K20" s="689">
        <f>transport!J14</f>
        <v>0</v>
      </c>
      <c r="L20" s="689">
        <f>transport!K14</f>
        <v>0</v>
      </c>
      <c r="M20" s="689">
        <f>transport!L14</f>
        <v>0</v>
      </c>
      <c r="N20" s="689">
        <f>transport!M14</f>
        <v>5602.1140527223251</v>
      </c>
      <c r="O20" s="689">
        <f>transport!N14</f>
        <v>0</v>
      </c>
      <c r="P20" s="689">
        <f>transport!O14</f>
        <v>0</v>
      </c>
      <c r="Q20" s="690">
        <f>transport!P14</f>
        <v>0</v>
      </c>
      <c r="R20" s="692">
        <f>SUM(C20:Q20)</f>
        <v>101121.25336434811</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73.28552179734983</v>
      </c>
      <c r="D22" s="814">
        <f t="shared" ref="D22:R22" si="1">SUM(D18:D21)</f>
        <v>0</v>
      </c>
      <c r="E22" s="814">
        <f t="shared" si="1"/>
        <v>302.27553147481598</v>
      </c>
      <c r="F22" s="814">
        <f t="shared" si="1"/>
        <v>161.80121638753945</v>
      </c>
      <c r="G22" s="814">
        <f t="shared" si="1"/>
        <v>0</v>
      </c>
      <c r="H22" s="814">
        <f t="shared" si="1"/>
        <v>77630.540400206737</v>
      </c>
      <c r="I22" s="814">
        <f t="shared" si="1"/>
        <v>19258.81492701103</v>
      </c>
      <c r="J22" s="814">
        <f t="shared" si="1"/>
        <v>0</v>
      </c>
      <c r="K22" s="814">
        <f t="shared" si="1"/>
        <v>0</v>
      </c>
      <c r="L22" s="814">
        <f t="shared" si="1"/>
        <v>0</v>
      </c>
      <c r="M22" s="814">
        <f t="shared" si="1"/>
        <v>0</v>
      </c>
      <c r="N22" s="814">
        <f t="shared" si="1"/>
        <v>5705.6301152607402</v>
      </c>
      <c r="O22" s="814">
        <f t="shared" si="1"/>
        <v>0</v>
      </c>
      <c r="P22" s="814">
        <f t="shared" si="1"/>
        <v>0</v>
      </c>
      <c r="Q22" s="814">
        <f t="shared" si="1"/>
        <v>0</v>
      </c>
      <c r="R22" s="814">
        <f t="shared" si="1"/>
        <v>103132.3477121382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589.89002599999992</v>
      </c>
      <c r="D24" s="689">
        <f>+landbouw!C8</f>
        <v>62.357142857142847</v>
      </c>
      <c r="E24" s="689">
        <f>+landbouw!D8</f>
        <v>61.525829148000007</v>
      </c>
      <c r="F24" s="689">
        <f>+landbouw!E8</f>
        <v>21.998803414415189</v>
      </c>
      <c r="G24" s="689">
        <f>+landbouw!F8</f>
        <v>1913.8311868225605</v>
      </c>
      <c r="H24" s="689">
        <f>+landbouw!G8</f>
        <v>0</v>
      </c>
      <c r="I24" s="689">
        <f>+landbouw!H8</f>
        <v>0</v>
      </c>
      <c r="J24" s="689">
        <f>+landbouw!I8</f>
        <v>0</v>
      </c>
      <c r="K24" s="689">
        <f>+landbouw!J8</f>
        <v>154.84904405727738</v>
      </c>
      <c r="L24" s="689">
        <f>+landbouw!K8</f>
        <v>0</v>
      </c>
      <c r="M24" s="689">
        <f>+landbouw!L8</f>
        <v>0</v>
      </c>
      <c r="N24" s="689">
        <f>+landbouw!M8</f>
        <v>0</v>
      </c>
      <c r="O24" s="689">
        <f>+landbouw!N8</f>
        <v>0</v>
      </c>
      <c r="P24" s="689">
        <f>+landbouw!O8</f>
        <v>0</v>
      </c>
      <c r="Q24" s="690">
        <f>+landbouw!P8</f>
        <v>0</v>
      </c>
      <c r="R24" s="692">
        <f>SUM(C24:Q24)</f>
        <v>2804.4520322993958</v>
      </c>
      <c r="S24" s="67"/>
    </row>
    <row r="25" spans="1:19" s="451" customFormat="1" ht="15" thickBot="1">
      <c r="A25" s="833" t="s">
        <v>714</v>
      </c>
      <c r="B25" s="947"/>
      <c r="C25" s="948">
        <f>IF(Onbekend_ele_kWh="---",0,Onbekend_ele_kWh)/1000+IF(REST_rest_ele_kWh="---",0,REST_rest_ele_kWh)/1000</f>
        <v>425.88551699999999</v>
      </c>
      <c r="D25" s="948"/>
      <c r="E25" s="948">
        <f>IF(onbekend_gas_kWh="---",0,onbekend_gas_kWh)/1000+IF(REST_rest_gas_kWh="---",0,REST_rest_gas_kWh)/1000</f>
        <v>1462.5213060000001</v>
      </c>
      <c r="F25" s="948"/>
      <c r="G25" s="948"/>
      <c r="H25" s="948"/>
      <c r="I25" s="948"/>
      <c r="J25" s="948"/>
      <c r="K25" s="948"/>
      <c r="L25" s="948"/>
      <c r="M25" s="948"/>
      <c r="N25" s="948"/>
      <c r="O25" s="948"/>
      <c r="P25" s="948"/>
      <c r="Q25" s="949"/>
      <c r="R25" s="692">
        <f>SUM(C25:Q25)</f>
        <v>1888.406823</v>
      </c>
      <c r="S25" s="67"/>
    </row>
    <row r="26" spans="1:19" s="451" customFormat="1" ht="15.75" thickBot="1">
      <c r="A26" s="697" t="s">
        <v>715</v>
      </c>
      <c r="B26" s="819"/>
      <c r="C26" s="814">
        <f>SUM(C24:C25)</f>
        <v>1015.775543</v>
      </c>
      <c r="D26" s="814">
        <f t="shared" ref="D26:R26" si="2">SUM(D24:D25)</f>
        <v>62.357142857142847</v>
      </c>
      <c r="E26" s="814">
        <f t="shared" si="2"/>
        <v>1524.0471351480001</v>
      </c>
      <c r="F26" s="814">
        <f t="shared" si="2"/>
        <v>21.998803414415189</v>
      </c>
      <c r="G26" s="814">
        <f t="shared" si="2"/>
        <v>1913.8311868225605</v>
      </c>
      <c r="H26" s="814">
        <f t="shared" si="2"/>
        <v>0</v>
      </c>
      <c r="I26" s="814">
        <f t="shared" si="2"/>
        <v>0</v>
      </c>
      <c r="J26" s="814">
        <f t="shared" si="2"/>
        <v>0</v>
      </c>
      <c r="K26" s="814">
        <f t="shared" si="2"/>
        <v>154.84904405727738</v>
      </c>
      <c r="L26" s="814">
        <f t="shared" si="2"/>
        <v>0</v>
      </c>
      <c r="M26" s="814">
        <f t="shared" si="2"/>
        <v>0</v>
      </c>
      <c r="N26" s="814">
        <f t="shared" si="2"/>
        <v>0</v>
      </c>
      <c r="O26" s="814">
        <f t="shared" si="2"/>
        <v>0</v>
      </c>
      <c r="P26" s="814">
        <f t="shared" si="2"/>
        <v>0</v>
      </c>
      <c r="Q26" s="814">
        <f t="shared" si="2"/>
        <v>0</v>
      </c>
      <c r="R26" s="814">
        <f t="shared" si="2"/>
        <v>4692.8588552993961</v>
      </c>
      <c r="S26" s="67"/>
    </row>
    <row r="27" spans="1:19" s="451" customFormat="1" ht="17.25" thickTop="1" thickBot="1">
      <c r="A27" s="698" t="s">
        <v>115</v>
      </c>
      <c r="B27" s="806"/>
      <c r="C27" s="699">
        <f ca="1">C22+C16+C26</f>
        <v>116907.98699263083</v>
      </c>
      <c r="D27" s="699">
        <f t="shared" ref="D27:R27" ca="1" si="3">D22+D16+D26</f>
        <v>62.357142857142847</v>
      </c>
      <c r="E27" s="699">
        <f t="shared" ca="1" si="3"/>
        <v>216192.13813876698</v>
      </c>
      <c r="F27" s="699">
        <f t="shared" si="3"/>
        <v>16323.286473688186</v>
      </c>
      <c r="G27" s="699">
        <f t="shared" ca="1" si="3"/>
        <v>23398.081701366089</v>
      </c>
      <c r="H27" s="699">
        <f t="shared" si="3"/>
        <v>77630.540400206737</v>
      </c>
      <c r="I27" s="699">
        <f t="shared" si="3"/>
        <v>19258.81492701103</v>
      </c>
      <c r="J27" s="699">
        <f t="shared" si="3"/>
        <v>0</v>
      </c>
      <c r="K27" s="699">
        <f t="shared" si="3"/>
        <v>175.02838332245338</v>
      </c>
      <c r="L27" s="699">
        <f t="shared" si="3"/>
        <v>0</v>
      </c>
      <c r="M27" s="699">
        <f t="shared" ca="1" si="3"/>
        <v>0</v>
      </c>
      <c r="N27" s="699">
        <f t="shared" si="3"/>
        <v>5705.6301152607402</v>
      </c>
      <c r="O27" s="699">
        <f t="shared" ca="1" si="3"/>
        <v>23579.971561608774</v>
      </c>
      <c r="P27" s="699">
        <f t="shared" si="3"/>
        <v>483.03119163811579</v>
      </c>
      <c r="Q27" s="699">
        <f t="shared" si="3"/>
        <v>1295.2850201494675</v>
      </c>
      <c r="R27" s="699">
        <f t="shared" ca="1" si="3"/>
        <v>501012.15204850654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6719.5007493338408</v>
      </c>
      <c r="D40" s="689">
        <f ca="1">tertiair!C20</f>
        <v>0</v>
      </c>
      <c r="E40" s="689">
        <f ca="1">tertiair!D20</f>
        <v>6169.0147187815028</v>
      </c>
      <c r="F40" s="689">
        <f>tertiair!E20</f>
        <v>26.660802945912739</v>
      </c>
      <c r="G40" s="689">
        <f ca="1">tertiair!F20</f>
        <v>1579.3899187793775</v>
      </c>
      <c r="H40" s="689">
        <f>tertiair!G20</f>
        <v>0</v>
      </c>
      <c r="I40" s="689">
        <f>tertiair!H20</f>
        <v>0</v>
      </c>
      <c r="J40" s="689">
        <f>tertiair!I20</f>
        <v>0</v>
      </c>
      <c r="K40" s="689">
        <f>tertiair!J20</f>
        <v>1.6101885942728607E-2</v>
      </c>
      <c r="L40" s="689">
        <f>tertiair!K20</f>
        <v>0</v>
      </c>
      <c r="M40" s="689">
        <f ca="1">tertiair!L20</f>
        <v>0</v>
      </c>
      <c r="N40" s="689">
        <f>tertiair!M20</f>
        <v>0</v>
      </c>
      <c r="O40" s="689">
        <f ca="1">tertiair!N20</f>
        <v>0</v>
      </c>
      <c r="P40" s="689">
        <f>tertiair!O20</f>
        <v>0</v>
      </c>
      <c r="Q40" s="772">
        <f>tertiair!P20</f>
        <v>0</v>
      </c>
      <c r="R40" s="852">
        <f t="shared" ca="1" si="4"/>
        <v>14494.582291726578</v>
      </c>
    </row>
    <row r="41" spans="1:18">
      <c r="A41" s="824" t="s">
        <v>224</v>
      </c>
      <c r="B41" s="831"/>
      <c r="C41" s="689">
        <f ca="1">huishoudens!B12</f>
        <v>4834.3183881834293</v>
      </c>
      <c r="D41" s="689">
        <f ca="1">huishoudens!C12</f>
        <v>0</v>
      </c>
      <c r="E41" s="689">
        <f>huishoudens!D12</f>
        <v>11334.744274736815</v>
      </c>
      <c r="F41" s="689">
        <f>huishoudens!E12</f>
        <v>3594.4087344979998</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19763.471397418245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9403.1408217112348</v>
      </c>
      <c r="D43" s="689">
        <f ca="1">industrie!C22</f>
        <v>0</v>
      </c>
      <c r="E43" s="689">
        <f>industrie!D22</f>
        <v>25798.135731854811</v>
      </c>
      <c r="F43" s="689">
        <f>industrie!E22</f>
        <v>42.593887588262085</v>
      </c>
      <c r="G43" s="689">
        <f>industrie!F22</f>
        <v>4156.9049686037451</v>
      </c>
      <c r="H43" s="689">
        <f>industrie!G22</f>
        <v>0</v>
      </c>
      <c r="I43" s="689">
        <f>industrie!H22</f>
        <v>0</v>
      </c>
      <c r="J43" s="689">
        <f>industrie!I22</f>
        <v>0</v>
      </c>
      <c r="K43" s="689">
        <f>industrie!J22</f>
        <v>7.1273842139295756</v>
      </c>
      <c r="L43" s="689">
        <f>industrie!K22</f>
        <v>0</v>
      </c>
      <c r="M43" s="689">
        <f>industrie!L22</f>
        <v>0</v>
      </c>
      <c r="N43" s="689">
        <f>industrie!M22</f>
        <v>0</v>
      </c>
      <c r="O43" s="689">
        <f>industrie!N22</f>
        <v>0</v>
      </c>
      <c r="P43" s="689">
        <f>industrie!O22</f>
        <v>0</v>
      </c>
      <c r="Q43" s="772">
        <f>industrie!P22</f>
        <v>0</v>
      </c>
      <c r="R43" s="851">
        <f t="shared" ca="1" si="4"/>
        <v>39407.902793971982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20956.959959228505</v>
      </c>
      <c r="D46" s="725">
        <f t="shared" ref="D46:Q46" ca="1" si="5">SUM(D39:D45)</f>
        <v>0</v>
      </c>
      <c r="E46" s="725">
        <f t="shared" ca="1" si="5"/>
        <v>43301.894725373131</v>
      </c>
      <c r="F46" s="725">
        <f t="shared" si="5"/>
        <v>3663.6634250321745</v>
      </c>
      <c r="G46" s="725">
        <f t="shared" ca="1" si="5"/>
        <v>5736.2948873831228</v>
      </c>
      <c r="H46" s="725">
        <f t="shared" si="5"/>
        <v>0</v>
      </c>
      <c r="I46" s="725">
        <f t="shared" si="5"/>
        <v>0</v>
      </c>
      <c r="J46" s="725">
        <f t="shared" si="5"/>
        <v>0</v>
      </c>
      <c r="K46" s="725">
        <f t="shared" si="5"/>
        <v>7.1434860998723044</v>
      </c>
      <c r="L46" s="725">
        <f t="shared" si="5"/>
        <v>0</v>
      </c>
      <c r="M46" s="725">
        <f t="shared" ca="1" si="5"/>
        <v>0</v>
      </c>
      <c r="N46" s="725">
        <f t="shared" si="5"/>
        <v>0</v>
      </c>
      <c r="O46" s="725">
        <f t="shared" ca="1" si="5"/>
        <v>0</v>
      </c>
      <c r="P46" s="725">
        <f t="shared" si="5"/>
        <v>0</v>
      </c>
      <c r="Q46" s="725">
        <f t="shared" si="5"/>
        <v>0</v>
      </c>
      <c r="R46" s="725">
        <f ca="1">SUM(R39:R45)</f>
        <v>73665.95648311681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509.323402162197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509.323402162197</v>
      </c>
    </row>
    <row r="50" spans="1:18">
      <c r="A50" s="827" t="s">
        <v>306</v>
      </c>
      <c r="B50" s="837"/>
      <c r="C50" s="695">
        <f ca="1">transport!B18</f>
        <v>13.260714806276203</v>
      </c>
      <c r="D50" s="695">
        <f>transport!C18</f>
        <v>0</v>
      </c>
      <c r="E50" s="695">
        <f>transport!D18</f>
        <v>61.059657357912833</v>
      </c>
      <c r="F50" s="695">
        <f>transport!E18</f>
        <v>36.72887611997146</v>
      </c>
      <c r="G50" s="695">
        <f>transport!F18</f>
        <v>0</v>
      </c>
      <c r="H50" s="695">
        <f>transport!G18</f>
        <v>20218.030884693002</v>
      </c>
      <c r="I50" s="695">
        <f>transport!H18</f>
        <v>4795.4449168257461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25124.525049802909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13.260714806276203</v>
      </c>
      <c r="D52" s="725">
        <f t="shared" ref="D52:Q52" ca="1" si="6">SUM(D48:D51)</f>
        <v>0</v>
      </c>
      <c r="E52" s="725">
        <f t="shared" si="6"/>
        <v>61.059657357912833</v>
      </c>
      <c r="F52" s="725">
        <f t="shared" si="6"/>
        <v>36.72887611997146</v>
      </c>
      <c r="G52" s="725">
        <f t="shared" si="6"/>
        <v>0</v>
      </c>
      <c r="H52" s="725">
        <f t="shared" si="6"/>
        <v>20727.354286855199</v>
      </c>
      <c r="I52" s="725">
        <f t="shared" si="6"/>
        <v>4795.4449168257461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25633.848451965107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106.73818252237275</v>
      </c>
      <c r="D54" s="695">
        <f ca="1">+landbouw!C12</f>
        <v>0</v>
      </c>
      <c r="E54" s="695">
        <f>+landbouw!D12</f>
        <v>12.428217487896003</v>
      </c>
      <c r="F54" s="695">
        <f>+landbouw!E12</f>
        <v>4.9937283750722479</v>
      </c>
      <c r="G54" s="695">
        <f>+landbouw!F12</f>
        <v>510.9929268816237</v>
      </c>
      <c r="H54" s="695">
        <f>+landbouw!G12</f>
        <v>0</v>
      </c>
      <c r="I54" s="695">
        <f>+landbouw!H12</f>
        <v>0</v>
      </c>
      <c r="J54" s="695">
        <f>+landbouw!I12</f>
        <v>0</v>
      </c>
      <c r="K54" s="695">
        <f>+landbouw!J12</f>
        <v>54.816561596276188</v>
      </c>
      <c r="L54" s="695">
        <f>+landbouw!K12</f>
        <v>0</v>
      </c>
      <c r="M54" s="695">
        <f>+landbouw!L12</f>
        <v>0</v>
      </c>
      <c r="N54" s="695">
        <f>+landbouw!M12</f>
        <v>0</v>
      </c>
      <c r="O54" s="695">
        <f>+landbouw!N12</f>
        <v>0</v>
      </c>
      <c r="P54" s="695">
        <f>+landbouw!O12</f>
        <v>0</v>
      </c>
      <c r="Q54" s="696">
        <f>+landbouw!P12</f>
        <v>0</v>
      </c>
      <c r="R54" s="724">
        <f ca="1">SUM(C54:Q54)</f>
        <v>689.96961686324084</v>
      </c>
    </row>
    <row r="55" spans="1:18" ht="15" thickBot="1">
      <c r="A55" s="827" t="s">
        <v>714</v>
      </c>
      <c r="B55" s="837"/>
      <c r="C55" s="695">
        <f ca="1">C25*'EF ele_warmte'!B12</f>
        <v>77.062238796322845</v>
      </c>
      <c r="D55" s="695"/>
      <c r="E55" s="695">
        <f>E25*EF_CO2_aardgas</f>
        <v>295.42930381200006</v>
      </c>
      <c r="F55" s="695"/>
      <c r="G55" s="695"/>
      <c r="H55" s="695"/>
      <c r="I55" s="695"/>
      <c r="J55" s="695"/>
      <c r="K55" s="695"/>
      <c r="L55" s="695"/>
      <c r="M55" s="695"/>
      <c r="N55" s="695"/>
      <c r="O55" s="695"/>
      <c r="P55" s="695"/>
      <c r="Q55" s="696"/>
      <c r="R55" s="724">
        <f ca="1">SUM(C55:Q55)</f>
        <v>372.4915426083229</v>
      </c>
    </row>
    <row r="56" spans="1:18" ht="15.75" thickBot="1">
      <c r="A56" s="825" t="s">
        <v>715</v>
      </c>
      <c r="B56" s="838"/>
      <c r="C56" s="725">
        <f ca="1">SUM(C54:C55)</f>
        <v>183.80042131869561</v>
      </c>
      <c r="D56" s="725">
        <f t="shared" ref="D56:Q56" ca="1" si="7">SUM(D54:D55)</f>
        <v>0</v>
      </c>
      <c r="E56" s="725">
        <f t="shared" si="7"/>
        <v>307.85752129989606</v>
      </c>
      <c r="F56" s="725">
        <f t="shared" si="7"/>
        <v>4.9937283750722479</v>
      </c>
      <c r="G56" s="725">
        <f t="shared" si="7"/>
        <v>510.9929268816237</v>
      </c>
      <c r="H56" s="725">
        <f t="shared" si="7"/>
        <v>0</v>
      </c>
      <c r="I56" s="725">
        <f t="shared" si="7"/>
        <v>0</v>
      </c>
      <c r="J56" s="725">
        <f t="shared" si="7"/>
        <v>0</v>
      </c>
      <c r="K56" s="725">
        <f t="shared" si="7"/>
        <v>54.816561596276188</v>
      </c>
      <c r="L56" s="725">
        <f t="shared" si="7"/>
        <v>0</v>
      </c>
      <c r="M56" s="725">
        <f t="shared" si="7"/>
        <v>0</v>
      </c>
      <c r="N56" s="725">
        <f t="shared" si="7"/>
        <v>0</v>
      </c>
      <c r="O56" s="725">
        <f t="shared" si="7"/>
        <v>0</v>
      </c>
      <c r="P56" s="725">
        <f t="shared" si="7"/>
        <v>0</v>
      </c>
      <c r="Q56" s="726">
        <f t="shared" si="7"/>
        <v>0</v>
      </c>
      <c r="R56" s="727">
        <f ca="1">SUM(R54:R55)</f>
        <v>1062.4611594715639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21154.021095353477</v>
      </c>
      <c r="D61" s="733">
        <f t="shared" ref="D61:Q61" ca="1" si="8">D46+D52+D56</f>
        <v>0</v>
      </c>
      <c r="E61" s="733">
        <f t="shared" ca="1" si="8"/>
        <v>43670.811904030939</v>
      </c>
      <c r="F61" s="733">
        <f t="shared" si="8"/>
        <v>3705.3860295272184</v>
      </c>
      <c r="G61" s="733">
        <f t="shared" ca="1" si="8"/>
        <v>6247.2878142647469</v>
      </c>
      <c r="H61" s="733">
        <f t="shared" si="8"/>
        <v>20727.354286855199</v>
      </c>
      <c r="I61" s="733">
        <f t="shared" si="8"/>
        <v>4795.4449168257461</v>
      </c>
      <c r="J61" s="733">
        <f t="shared" si="8"/>
        <v>0</v>
      </c>
      <c r="K61" s="733">
        <f t="shared" si="8"/>
        <v>61.960047696148493</v>
      </c>
      <c r="L61" s="733">
        <f t="shared" si="8"/>
        <v>0</v>
      </c>
      <c r="M61" s="733">
        <f t="shared" ca="1" si="8"/>
        <v>0</v>
      </c>
      <c r="N61" s="733">
        <f t="shared" si="8"/>
        <v>0</v>
      </c>
      <c r="O61" s="733">
        <f t="shared" ca="1" si="8"/>
        <v>0</v>
      </c>
      <c r="P61" s="733">
        <f t="shared" si="8"/>
        <v>0</v>
      </c>
      <c r="Q61" s="733">
        <f t="shared" si="8"/>
        <v>0</v>
      </c>
      <c r="R61" s="733">
        <f ca="1">R46+R52+R56</f>
        <v>100362.26609455349</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0.18094590146939146</v>
      </c>
      <c r="D63" s="779">
        <f t="shared" ca="1" si="9"/>
        <v>0</v>
      </c>
      <c r="E63" s="973">
        <f t="shared" ca="1" si="9"/>
        <v>0.20200000000000004</v>
      </c>
      <c r="F63" s="779">
        <f t="shared" si="9"/>
        <v>0.22700000000000001</v>
      </c>
      <c r="G63" s="779">
        <f t="shared" ca="1" si="9"/>
        <v>0.26700000000000007</v>
      </c>
      <c r="H63" s="779">
        <f t="shared" si="9"/>
        <v>0.26700000000000002</v>
      </c>
      <c r="I63" s="779">
        <f t="shared" si="9"/>
        <v>0.24899999999999997</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21144.784524968043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43.649999999999991</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51.35294117647058</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21188.434524968045</v>
      </c>
      <c r="C78" s="751">
        <f>SUM(C72:C77)</f>
        <v>0</v>
      </c>
      <c r="D78" s="752">
        <f t="shared" ref="D78:H78" si="10">SUM(D76:D77)</f>
        <v>0</v>
      </c>
      <c r="E78" s="752">
        <f t="shared" si="10"/>
        <v>0</v>
      </c>
      <c r="F78" s="752">
        <f t="shared" si="10"/>
        <v>0</v>
      </c>
      <c r="G78" s="752">
        <f t="shared" si="10"/>
        <v>0</v>
      </c>
      <c r="H78" s="752">
        <f t="shared" si="10"/>
        <v>0</v>
      </c>
      <c r="I78" s="752">
        <f>SUM(I76:I77)</f>
        <v>0</v>
      </c>
      <c r="J78" s="752">
        <f>SUM(J76:J77)</f>
        <v>51.35294117647058</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62.357142857142847</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73.361344537815114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62.357142857142847</v>
      </c>
      <c r="C90" s="751">
        <f>SUM(C87:C89)</f>
        <v>0</v>
      </c>
      <c r="D90" s="751">
        <f t="shared" ref="D90:H90" si="12">SUM(D87:D89)</f>
        <v>0</v>
      </c>
      <c r="E90" s="751">
        <f t="shared" si="12"/>
        <v>0</v>
      </c>
      <c r="F90" s="751">
        <f t="shared" si="12"/>
        <v>0</v>
      </c>
      <c r="G90" s="751">
        <f t="shared" si="12"/>
        <v>0</v>
      </c>
      <c r="H90" s="751">
        <f t="shared" si="12"/>
        <v>0</v>
      </c>
      <c r="I90" s="751">
        <f>SUM(I87:I89)</f>
        <v>0</v>
      </c>
      <c r="J90" s="751">
        <f>SUM(J87:J89)</f>
        <v>73.361344537815114</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21144.784524968043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43.649999999999991</v>
      </c>
      <c r="C8" s="551">
        <f>B48</f>
        <v>0</v>
      </c>
      <c r="D8" s="552"/>
      <c r="E8" s="552">
        <f>E48</f>
        <v>0</v>
      </c>
      <c r="F8" s="553"/>
      <c r="G8" s="554"/>
      <c r="H8" s="552">
        <f>I48</f>
        <v>0</v>
      </c>
      <c r="I8" s="552">
        <f>G48+F48</f>
        <v>0</v>
      </c>
      <c r="J8" s="552">
        <f>H48+D48+C48</f>
        <v>51.35294117647058</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21188.434524968045</v>
      </c>
      <c r="C10" s="566">
        <f t="shared" ref="C10:L10" si="0">SUM(C8:C9)</f>
        <v>0</v>
      </c>
      <c r="D10" s="566">
        <f t="shared" si="0"/>
        <v>0</v>
      </c>
      <c r="E10" s="566">
        <f t="shared" si="0"/>
        <v>0</v>
      </c>
      <c r="F10" s="566">
        <f t="shared" si="0"/>
        <v>0</v>
      </c>
      <c r="G10" s="566">
        <f t="shared" si="0"/>
        <v>0</v>
      </c>
      <c r="H10" s="566">
        <f t="shared" si="0"/>
        <v>0</v>
      </c>
      <c r="I10" s="566">
        <f t="shared" si="0"/>
        <v>0</v>
      </c>
      <c r="J10" s="566">
        <f t="shared" si="0"/>
        <v>51.35294117647058</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62.357142857142847</v>
      </c>
      <c r="C17" s="582">
        <f>B49</f>
        <v>0</v>
      </c>
      <c r="D17" s="583"/>
      <c r="E17" s="583">
        <f>E49</f>
        <v>0</v>
      </c>
      <c r="F17" s="584"/>
      <c r="G17" s="585"/>
      <c r="H17" s="582">
        <f>I49</f>
        <v>0</v>
      </c>
      <c r="I17" s="583">
        <f>G49+F49</f>
        <v>0</v>
      </c>
      <c r="J17" s="583">
        <f>H49+D49+C49</f>
        <v>73.361344537815114</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62.357142857142847</v>
      </c>
      <c r="C20" s="565">
        <f>SUM(C17:C19)</f>
        <v>0</v>
      </c>
      <c r="D20" s="565">
        <f t="shared" ref="D20:L20" si="1">SUM(D17:D19)</f>
        <v>0</v>
      </c>
      <c r="E20" s="565">
        <f t="shared" si="1"/>
        <v>0</v>
      </c>
      <c r="F20" s="565">
        <f t="shared" si="1"/>
        <v>0</v>
      </c>
      <c r="G20" s="565">
        <f t="shared" si="1"/>
        <v>0</v>
      </c>
      <c r="H20" s="565">
        <f t="shared" si="1"/>
        <v>0</v>
      </c>
      <c r="I20" s="565">
        <f t="shared" si="1"/>
        <v>0</v>
      </c>
      <c r="J20" s="565">
        <f t="shared" si="1"/>
        <v>73.361344537815114</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72029</v>
      </c>
      <c r="C28" s="794">
        <v>3900</v>
      </c>
      <c r="D28" s="643" t="s">
        <v>865</v>
      </c>
      <c r="E28" s="642" t="s">
        <v>866</v>
      </c>
      <c r="F28" s="642" t="s">
        <v>867</v>
      </c>
      <c r="G28" s="642" t="s">
        <v>868</v>
      </c>
      <c r="H28" s="642" t="s">
        <v>869</v>
      </c>
      <c r="I28" s="642" t="s">
        <v>866</v>
      </c>
      <c r="J28" s="793">
        <v>41094</v>
      </c>
      <c r="K28" s="793">
        <v>41244</v>
      </c>
      <c r="L28" s="642" t="s">
        <v>870</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9.6999999999999993</v>
      </c>
      <c r="N29" s="600">
        <f>SUM(N28:N28)</f>
        <v>43.649999999999991</v>
      </c>
      <c r="O29" s="600">
        <f>SUM(O28:O28)</f>
        <v>62.357142857142847</v>
      </c>
      <c r="P29" s="600">
        <f>SUM(P28:P28)</f>
        <v>0</v>
      </c>
      <c r="Q29" s="600">
        <f>SUM(Q28:Q28)</f>
        <v>124.71428571428569</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9.6999999999999993</v>
      </c>
      <c r="N32" s="605">
        <f>SUMIF($Z$28:$Z$28,"landbouw",N28:N28)</f>
        <v>43.649999999999991</v>
      </c>
      <c r="O32" s="605">
        <f>SUMIF($Z$28:$Z$28,"landbouw",O28:O28)</f>
        <v>62.357142857142847</v>
      </c>
      <c r="P32" s="605">
        <f>SUMIF($Z$28:$Z$28,"landbouw",P28:P28)</f>
        <v>0</v>
      </c>
      <c r="Q32" s="605">
        <f>SUMIF($Z$28:$Z$28,"landbouw",Q28:Q28)</f>
        <v>124.71428571428569</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51.35294117647058</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73.361344537815114</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26716.926710833486</v>
      </c>
      <c r="C4" s="455">
        <f>huishoudens!C8</f>
        <v>0</v>
      </c>
      <c r="D4" s="455">
        <f>huishoudens!D8</f>
        <v>56112.595419489182</v>
      </c>
      <c r="E4" s="455">
        <f>huishoudens!E8</f>
        <v>15834.399711444932</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20547.150538191039</v>
      </c>
      <c r="O4" s="455">
        <f>huishoudens!O8</f>
        <v>478.13393087227462</v>
      </c>
      <c r="P4" s="456">
        <f>huishoudens!P8</f>
        <v>1137.6676052299824</v>
      </c>
      <c r="Q4" s="457">
        <f>SUM(B4:P4)</f>
        <v>120826.87391606091</v>
      </c>
    </row>
    <row r="5" spans="1:17">
      <c r="A5" s="454" t="s">
        <v>155</v>
      </c>
      <c r="B5" s="455">
        <f ca="1">tertiair!B16</f>
        <v>36059.934451999994</v>
      </c>
      <c r="C5" s="455">
        <f ca="1">tertiair!C16</f>
        <v>0</v>
      </c>
      <c r="D5" s="455">
        <f ca="1">tertiair!D16</f>
        <v>30539.676825651</v>
      </c>
      <c r="E5" s="455">
        <f>tertiair!E16</f>
        <v>117.44847112736889</v>
      </c>
      <c r="F5" s="455">
        <f ca="1">tertiair!F16</f>
        <v>5915.3180478628365</v>
      </c>
      <c r="G5" s="455">
        <f>tertiair!G16</f>
        <v>0</v>
      </c>
      <c r="H5" s="455">
        <f>tertiair!H16</f>
        <v>0</v>
      </c>
      <c r="I5" s="455">
        <f>tertiair!I16</f>
        <v>0</v>
      </c>
      <c r="J5" s="455">
        <f>tertiair!J16</f>
        <v>4.5485553510532788E-2</v>
      </c>
      <c r="K5" s="455">
        <f>tertiair!K16</f>
        <v>0</v>
      </c>
      <c r="L5" s="455">
        <f ca="1">tertiair!L16</f>
        <v>0</v>
      </c>
      <c r="M5" s="455">
        <f>tertiair!M16</f>
        <v>0</v>
      </c>
      <c r="N5" s="455">
        <f ca="1">tertiair!N16</f>
        <v>1721.5350724244738</v>
      </c>
      <c r="O5" s="455">
        <f>tertiair!O16</f>
        <v>4.8972607658411542</v>
      </c>
      <c r="P5" s="456">
        <f>tertiair!P16</f>
        <v>157.61741491948504</v>
      </c>
      <c r="Q5" s="454">
        <f t="shared" ref="Q5:Q14" ca="1" si="0">SUM(B5:P5)</f>
        <v>74516.473030304507</v>
      </c>
    </row>
    <row r="6" spans="1:17">
      <c r="A6" s="454" t="s">
        <v>193</v>
      </c>
      <c r="B6" s="455">
        <f>'openbare verlichting'!B8</f>
        <v>1075.4783689999999</v>
      </c>
      <c r="C6" s="455"/>
      <c r="D6" s="455"/>
      <c r="E6" s="455"/>
      <c r="F6" s="455"/>
      <c r="G6" s="455"/>
      <c r="H6" s="455"/>
      <c r="I6" s="455"/>
      <c r="J6" s="455"/>
      <c r="K6" s="455"/>
      <c r="L6" s="455"/>
      <c r="M6" s="455"/>
      <c r="N6" s="455"/>
      <c r="O6" s="455"/>
      <c r="P6" s="456"/>
      <c r="Q6" s="454">
        <f t="shared" si="0"/>
        <v>1075.4783689999999</v>
      </c>
    </row>
    <row r="7" spans="1:17">
      <c r="A7" s="454" t="s">
        <v>111</v>
      </c>
      <c r="B7" s="455">
        <f>landbouw!B8</f>
        <v>589.89002599999992</v>
      </c>
      <c r="C7" s="455">
        <f>landbouw!C8</f>
        <v>62.357142857142847</v>
      </c>
      <c r="D7" s="455">
        <f>landbouw!D8</f>
        <v>61.525829148000007</v>
      </c>
      <c r="E7" s="455">
        <f>landbouw!E8</f>
        <v>21.998803414415189</v>
      </c>
      <c r="F7" s="455">
        <f>landbouw!F8</f>
        <v>1913.8311868225605</v>
      </c>
      <c r="G7" s="455">
        <f>landbouw!G8</f>
        <v>0</v>
      </c>
      <c r="H7" s="455">
        <f>landbouw!H8</f>
        <v>0</v>
      </c>
      <c r="I7" s="455">
        <f>landbouw!I8</f>
        <v>0</v>
      </c>
      <c r="J7" s="455">
        <f>landbouw!J8</f>
        <v>154.84904405727738</v>
      </c>
      <c r="K7" s="455">
        <f>landbouw!K8</f>
        <v>0</v>
      </c>
      <c r="L7" s="455">
        <f>landbouw!L8</f>
        <v>0</v>
      </c>
      <c r="M7" s="455">
        <f>landbouw!M8</f>
        <v>0</v>
      </c>
      <c r="N7" s="455">
        <f>landbouw!N8</f>
        <v>0</v>
      </c>
      <c r="O7" s="455">
        <f>landbouw!O8</f>
        <v>0</v>
      </c>
      <c r="P7" s="456">
        <f>landbouw!P8</f>
        <v>0</v>
      </c>
      <c r="Q7" s="454">
        <f t="shared" si="0"/>
        <v>2804.4520322993958</v>
      </c>
    </row>
    <row r="8" spans="1:17">
      <c r="A8" s="454" t="s">
        <v>626</v>
      </c>
      <c r="B8" s="455">
        <f>industrie!B18</f>
        <v>51966.586395999999</v>
      </c>
      <c r="C8" s="455">
        <f>industrie!C18</f>
        <v>0</v>
      </c>
      <c r="D8" s="455">
        <f>industrie!D18</f>
        <v>127713.543227004</v>
      </c>
      <c r="E8" s="455">
        <f>industrie!E18</f>
        <v>187.63827131392989</v>
      </c>
      <c r="F8" s="455">
        <f>industrie!F18</f>
        <v>15568.932466680692</v>
      </c>
      <c r="G8" s="455">
        <f>industrie!G18</f>
        <v>0</v>
      </c>
      <c r="H8" s="455">
        <f>industrie!H18</f>
        <v>0</v>
      </c>
      <c r="I8" s="455">
        <f>industrie!I18</f>
        <v>0</v>
      </c>
      <c r="J8" s="455">
        <f>industrie!J18</f>
        <v>20.13385371166547</v>
      </c>
      <c r="K8" s="455">
        <f>industrie!K18</f>
        <v>0</v>
      </c>
      <c r="L8" s="455">
        <f>industrie!L18</f>
        <v>0</v>
      </c>
      <c r="M8" s="455">
        <f>industrie!M18</f>
        <v>0</v>
      </c>
      <c r="N8" s="455">
        <f>industrie!N18</f>
        <v>1311.28595099326</v>
      </c>
      <c r="O8" s="455">
        <f>industrie!O18</f>
        <v>0</v>
      </c>
      <c r="P8" s="456">
        <f>industrie!P18</f>
        <v>0</v>
      </c>
      <c r="Q8" s="454">
        <f t="shared" si="0"/>
        <v>196768.1201657035</v>
      </c>
    </row>
    <row r="9" spans="1:17" s="460" customFormat="1">
      <c r="A9" s="458" t="s">
        <v>552</v>
      </c>
      <c r="B9" s="459">
        <f>transport!B14</f>
        <v>73.28552179734983</v>
      </c>
      <c r="C9" s="459">
        <f>transport!C14</f>
        <v>0</v>
      </c>
      <c r="D9" s="459">
        <f>transport!D14</f>
        <v>302.27553147481598</v>
      </c>
      <c r="E9" s="459">
        <f>transport!E14</f>
        <v>161.80121638753945</v>
      </c>
      <c r="F9" s="459">
        <f>transport!F14</f>
        <v>0</v>
      </c>
      <c r="G9" s="459">
        <f>transport!G14</f>
        <v>75722.962114955066</v>
      </c>
      <c r="H9" s="459">
        <f>transport!H14</f>
        <v>19258.81492701103</v>
      </c>
      <c r="I9" s="459">
        <f>transport!I14</f>
        <v>0</v>
      </c>
      <c r="J9" s="459">
        <f>transport!J14</f>
        <v>0</v>
      </c>
      <c r="K9" s="459">
        <f>transport!K14</f>
        <v>0</v>
      </c>
      <c r="L9" s="459">
        <f>transport!L14</f>
        <v>0</v>
      </c>
      <c r="M9" s="459">
        <f>transport!M14</f>
        <v>5602.1140527223251</v>
      </c>
      <c r="N9" s="459">
        <f>transport!N14</f>
        <v>0</v>
      </c>
      <c r="O9" s="459">
        <f>transport!O14</f>
        <v>0</v>
      </c>
      <c r="P9" s="459">
        <f>transport!P14</f>
        <v>0</v>
      </c>
      <c r="Q9" s="458">
        <f>SUM(B9:P9)</f>
        <v>101121.25336434811</v>
      </c>
    </row>
    <row r="10" spans="1:17">
      <c r="A10" s="454" t="s">
        <v>542</v>
      </c>
      <c r="B10" s="455">
        <f>transport!B54</f>
        <v>0</v>
      </c>
      <c r="C10" s="455">
        <f>transport!C54</f>
        <v>0</v>
      </c>
      <c r="D10" s="455">
        <f>transport!D54</f>
        <v>0</v>
      </c>
      <c r="E10" s="455">
        <f>transport!E54</f>
        <v>0</v>
      </c>
      <c r="F10" s="455">
        <f>transport!F54</f>
        <v>0</v>
      </c>
      <c r="G10" s="455">
        <f>transport!G54</f>
        <v>1907.5782852516741</v>
      </c>
      <c r="H10" s="455">
        <f>transport!H54</f>
        <v>0</v>
      </c>
      <c r="I10" s="455">
        <f>transport!I54</f>
        <v>0</v>
      </c>
      <c r="J10" s="455">
        <f>transport!J54</f>
        <v>0</v>
      </c>
      <c r="K10" s="455">
        <f>transport!K54</f>
        <v>0</v>
      </c>
      <c r="L10" s="455">
        <f>transport!L54</f>
        <v>0</v>
      </c>
      <c r="M10" s="455">
        <f>transport!M54</f>
        <v>103.51606253841493</v>
      </c>
      <c r="N10" s="455">
        <f>transport!N54</f>
        <v>0</v>
      </c>
      <c r="O10" s="455">
        <f>transport!O54</f>
        <v>0</v>
      </c>
      <c r="P10" s="456">
        <f>transport!P54</f>
        <v>0</v>
      </c>
      <c r="Q10" s="454">
        <f t="shared" si="0"/>
        <v>2011.0943477900889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425.88551699999999</v>
      </c>
      <c r="C14" s="462"/>
      <c r="D14" s="462">
        <f>'SEAP template'!E25</f>
        <v>1462.5213060000001</v>
      </c>
      <c r="E14" s="462"/>
      <c r="F14" s="462"/>
      <c r="G14" s="462"/>
      <c r="H14" s="462"/>
      <c r="I14" s="462"/>
      <c r="J14" s="462"/>
      <c r="K14" s="462"/>
      <c r="L14" s="462"/>
      <c r="M14" s="462"/>
      <c r="N14" s="462"/>
      <c r="O14" s="462"/>
      <c r="P14" s="463"/>
      <c r="Q14" s="454">
        <f t="shared" si="0"/>
        <v>1888.406823</v>
      </c>
    </row>
    <row r="15" spans="1:17" s="466" customFormat="1">
      <c r="A15" s="464" t="s">
        <v>546</v>
      </c>
      <c r="B15" s="465">
        <f ca="1">SUM(B4:B14)</f>
        <v>116907.98699263083</v>
      </c>
      <c r="C15" s="465">
        <f t="shared" ref="C15:Q15" ca="1" si="1">SUM(C4:C14)</f>
        <v>62.357142857142847</v>
      </c>
      <c r="D15" s="465">
        <f t="shared" ca="1" si="1"/>
        <v>216192.13813876701</v>
      </c>
      <c r="E15" s="465">
        <f t="shared" si="1"/>
        <v>16323.286473688186</v>
      </c>
      <c r="F15" s="465">
        <f t="shared" ca="1" si="1"/>
        <v>23398.081701366089</v>
      </c>
      <c r="G15" s="465">
        <f t="shared" si="1"/>
        <v>77630.540400206737</v>
      </c>
      <c r="H15" s="465">
        <f t="shared" si="1"/>
        <v>19258.81492701103</v>
      </c>
      <c r="I15" s="465">
        <f t="shared" si="1"/>
        <v>0</v>
      </c>
      <c r="J15" s="465">
        <f t="shared" si="1"/>
        <v>175.02838332245338</v>
      </c>
      <c r="K15" s="465">
        <f t="shared" si="1"/>
        <v>0</v>
      </c>
      <c r="L15" s="465">
        <f t="shared" ca="1" si="1"/>
        <v>0</v>
      </c>
      <c r="M15" s="465">
        <f t="shared" si="1"/>
        <v>5705.6301152607402</v>
      </c>
      <c r="N15" s="465">
        <f t="shared" ca="1" si="1"/>
        <v>23579.971561608774</v>
      </c>
      <c r="O15" s="465">
        <f t="shared" si="1"/>
        <v>483.03119163811579</v>
      </c>
      <c r="P15" s="465">
        <f t="shared" si="1"/>
        <v>1295.2850201494675</v>
      </c>
      <c r="Q15" s="465">
        <f t="shared" ca="1" si="1"/>
        <v>501012.15204850648</v>
      </c>
    </row>
    <row r="17" spans="1:17">
      <c r="A17" s="467" t="s">
        <v>547</v>
      </c>
      <c r="B17" s="784">
        <f ca="1">huishoudens!B10</f>
        <v>0.18094590146939146</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4834.3183881834293</v>
      </c>
      <c r="C22" s="455">
        <f t="shared" ref="C22:C32" ca="1" si="3">C4*$C$17</f>
        <v>0</v>
      </c>
      <c r="D22" s="455">
        <f t="shared" ref="D22:D32" si="4">D4*$D$17</f>
        <v>11334.744274736815</v>
      </c>
      <c r="E22" s="455">
        <f t="shared" ref="E22:E32" si="5">E4*$E$17</f>
        <v>3594.4087344979998</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19763.471397418245</v>
      </c>
    </row>
    <row r="23" spans="1:17">
      <c r="A23" s="454" t="s">
        <v>155</v>
      </c>
      <c r="B23" s="455">
        <f t="shared" ca="1" si="2"/>
        <v>6524.8973463443053</v>
      </c>
      <c r="C23" s="455">
        <f t="shared" ca="1" si="3"/>
        <v>0</v>
      </c>
      <c r="D23" s="455">
        <f t="shared" ca="1" si="4"/>
        <v>6169.0147187815028</v>
      </c>
      <c r="E23" s="455">
        <f t="shared" si="5"/>
        <v>26.660802945912739</v>
      </c>
      <c r="F23" s="455">
        <f t="shared" ca="1" si="6"/>
        <v>1579.3899187793775</v>
      </c>
      <c r="G23" s="455">
        <f t="shared" si="7"/>
        <v>0</v>
      </c>
      <c r="H23" s="455">
        <f t="shared" si="8"/>
        <v>0</v>
      </c>
      <c r="I23" s="455">
        <f t="shared" si="9"/>
        <v>0</v>
      </c>
      <c r="J23" s="455">
        <f t="shared" si="10"/>
        <v>1.6101885942728607E-2</v>
      </c>
      <c r="K23" s="455">
        <f t="shared" si="11"/>
        <v>0</v>
      </c>
      <c r="L23" s="455">
        <f t="shared" ca="1" si="12"/>
        <v>0</v>
      </c>
      <c r="M23" s="455">
        <f t="shared" si="13"/>
        <v>0</v>
      </c>
      <c r="N23" s="455">
        <f t="shared" ca="1" si="14"/>
        <v>0</v>
      </c>
      <c r="O23" s="455">
        <f t="shared" si="15"/>
        <v>0</v>
      </c>
      <c r="P23" s="456">
        <f t="shared" si="16"/>
        <v>0</v>
      </c>
      <c r="Q23" s="454">
        <f t="shared" ref="Q23:Q31" ca="1" si="17">SUM(B23:P23)</f>
        <v>14299.978888737043</v>
      </c>
    </row>
    <row r="24" spans="1:17">
      <c r="A24" s="454" t="s">
        <v>193</v>
      </c>
      <c r="B24" s="455">
        <f t="shared" ca="1" si="2"/>
        <v>194.60340298953582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194.60340298953582</v>
      </c>
    </row>
    <row r="25" spans="1:17">
      <c r="A25" s="454" t="s">
        <v>111</v>
      </c>
      <c r="B25" s="455">
        <f t="shared" ca="1" si="2"/>
        <v>106.73818252237275</v>
      </c>
      <c r="C25" s="455">
        <f t="shared" ca="1" si="3"/>
        <v>0</v>
      </c>
      <c r="D25" s="455">
        <f t="shared" si="4"/>
        <v>12.428217487896003</v>
      </c>
      <c r="E25" s="455">
        <f t="shared" si="5"/>
        <v>4.9937283750722479</v>
      </c>
      <c r="F25" s="455">
        <f t="shared" si="6"/>
        <v>510.9929268816237</v>
      </c>
      <c r="G25" s="455">
        <f t="shared" si="7"/>
        <v>0</v>
      </c>
      <c r="H25" s="455">
        <f t="shared" si="8"/>
        <v>0</v>
      </c>
      <c r="I25" s="455">
        <f t="shared" si="9"/>
        <v>0</v>
      </c>
      <c r="J25" s="455">
        <f t="shared" si="10"/>
        <v>54.816561596276188</v>
      </c>
      <c r="K25" s="455">
        <f t="shared" si="11"/>
        <v>0</v>
      </c>
      <c r="L25" s="455">
        <f t="shared" si="12"/>
        <v>0</v>
      </c>
      <c r="M25" s="455">
        <f t="shared" si="13"/>
        <v>0</v>
      </c>
      <c r="N25" s="455">
        <f t="shared" si="14"/>
        <v>0</v>
      </c>
      <c r="O25" s="455">
        <f t="shared" si="15"/>
        <v>0</v>
      </c>
      <c r="P25" s="456">
        <f t="shared" si="16"/>
        <v>0</v>
      </c>
      <c r="Q25" s="454">
        <f t="shared" ca="1" si="17"/>
        <v>689.96961686324084</v>
      </c>
    </row>
    <row r="26" spans="1:17">
      <c r="A26" s="454" t="s">
        <v>626</v>
      </c>
      <c r="B26" s="455">
        <f t="shared" ca="1" si="2"/>
        <v>9403.1408217112348</v>
      </c>
      <c r="C26" s="455">
        <f t="shared" ca="1" si="3"/>
        <v>0</v>
      </c>
      <c r="D26" s="455">
        <f t="shared" si="4"/>
        <v>25798.135731854811</v>
      </c>
      <c r="E26" s="455">
        <f t="shared" si="5"/>
        <v>42.593887588262085</v>
      </c>
      <c r="F26" s="455">
        <f t="shared" si="6"/>
        <v>4156.9049686037451</v>
      </c>
      <c r="G26" s="455">
        <f t="shared" si="7"/>
        <v>0</v>
      </c>
      <c r="H26" s="455">
        <f t="shared" si="8"/>
        <v>0</v>
      </c>
      <c r="I26" s="455">
        <f t="shared" si="9"/>
        <v>0</v>
      </c>
      <c r="J26" s="455">
        <f t="shared" si="10"/>
        <v>7.1273842139295756</v>
      </c>
      <c r="K26" s="455">
        <f t="shared" si="11"/>
        <v>0</v>
      </c>
      <c r="L26" s="455">
        <f t="shared" si="12"/>
        <v>0</v>
      </c>
      <c r="M26" s="455">
        <f t="shared" si="13"/>
        <v>0</v>
      </c>
      <c r="N26" s="455">
        <f t="shared" si="14"/>
        <v>0</v>
      </c>
      <c r="O26" s="455">
        <f t="shared" si="15"/>
        <v>0</v>
      </c>
      <c r="P26" s="456">
        <f t="shared" si="16"/>
        <v>0</v>
      </c>
      <c r="Q26" s="454">
        <f t="shared" ca="1" si="17"/>
        <v>39407.902793971982</v>
      </c>
    </row>
    <row r="27" spans="1:17" s="460" customFormat="1">
      <c r="A27" s="458" t="s">
        <v>552</v>
      </c>
      <c r="B27" s="778">
        <f t="shared" ca="1" si="2"/>
        <v>13.260714806276203</v>
      </c>
      <c r="C27" s="459">
        <f t="shared" ca="1" si="3"/>
        <v>0</v>
      </c>
      <c r="D27" s="459">
        <f t="shared" si="4"/>
        <v>61.059657357912833</v>
      </c>
      <c r="E27" s="459">
        <f t="shared" si="5"/>
        <v>36.72887611997146</v>
      </c>
      <c r="F27" s="459">
        <f t="shared" si="6"/>
        <v>0</v>
      </c>
      <c r="G27" s="459">
        <f t="shared" si="7"/>
        <v>20218.030884693002</v>
      </c>
      <c r="H27" s="459">
        <f t="shared" si="8"/>
        <v>4795.4449168257461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25124.525049802909</v>
      </c>
    </row>
    <row r="28" spans="1:17" ht="16.5" customHeight="1">
      <c r="A28" s="454" t="s">
        <v>542</v>
      </c>
      <c r="B28" s="455">
        <f t="shared" ca="1" si="2"/>
        <v>0</v>
      </c>
      <c r="C28" s="455">
        <f t="shared" ca="1" si="3"/>
        <v>0</v>
      </c>
      <c r="D28" s="455">
        <f t="shared" si="4"/>
        <v>0</v>
      </c>
      <c r="E28" s="455">
        <f t="shared" si="5"/>
        <v>0</v>
      </c>
      <c r="F28" s="455">
        <f t="shared" si="6"/>
        <v>0</v>
      </c>
      <c r="G28" s="455">
        <f t="shared" si="7"/>
        <v>509.323402162197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509.323402162197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77.062238796322845</v>
      </c>
      <c r="C32" s="455">
        <f t="shared" ca="1" si="3"/>
        <v>0</v>
      </c>
      <c r="D32" s="455">
        <f t="shared" si="4"/>
        <v>295.42930381200006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372.4915426083229</v>
      </c>
    </row>
    <row r="33" spans="1:17" s="466" customFormat="1">
      <c r="A33" s="464" t="s">
        <v>546</v>
      </c>
      <c r="B33" s="465">
        <f ca="1">SUM(B22:B32)</f>
        <v>21154.021095353481</v>
      </c>
      <c r="C33" s="465">
        <f t="shared" ref="C33:Q33" ca="1" si="19">SUM(C22:C32)</f>
        <v>0</v>
      </c>
      <c r="D33" s="465">
        <f t="shared" ca="1" si="19"/>
        <v>43670.811904030932</v>
      </c>
      <c r="E33" s="465">
        <f t="shared" si="19"/>
        <v>3705.3860295272184</v>
      </c>
      <c r="F33" s="465">
        <f t="shared" ca="1" si="19"/>
        <v>6247.287814264746</v>
      </c>
      <c r="G33" s="465">
        <f t="shared" si="19"/>
        <v>20727.354286855199</v>
      </c>
      <c r="H33" s="465">
        <f t="shared" si="19"/>
        <v>4795.4449168257461</v>
      </c>
      <c r="I33" s="465">
        <f t="shared" si="19"/>
        <v>0</v>
      </c>
      <c r="J33" s="465">
        <f t="shared" si="19"/>
        <v>61.960047696148493</v>
      </c>
      <c r="K33" s="465">
        <f t="shared" si="19"/>
        <v>0</v>
      </c>
      <c r="L33" s="465">
        <f t="shared" ca="1" si="19"/>
        <v>0</v>
      </c>
      <c r="M33" s="465">
        <f t="shared" si="19"/>
        <v>0</v>
      </c>
      <c r="N33" s="465">
        <f t="shared" ca="1" si="19"/>
        <v>0</v>
      </c>
      <c r="O33" s="465">
        <f t="shared" si="19"/>
        <v>0</v>
      </c>
      <c r="P33" s="465">
        <f t="shared" si="19"/>
        <v>0</v>
      </c>
      <c r="Q33" s="465">
        <f t="shared" ca="1" si="19"/>
        <v>100362.26609455346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21144.784524968043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43.649999999999991</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51.35294117647058</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21188.434524968045</v>
      </c>
      <c r="C10" s="1028">
        <f>SUM(C4:C9)</f>
        <v>0</v>
      </c>
      <c r="D10" s="1028">
        <f t="shared" ref="D10:H10" si="0">SUM(D8:D9)</f>
        <v>0</v>
      </c>
      <c r="E10" s="1028">
        <f t="shared" si="0"/>
        <v>0</v>
      </c>
      <c r="F10" s="1028">
        <f t="shared" si="0"/>
        <v>0</v>
      </c>
      <c r="G10" s="1028">
        <f t="shared" si="0"/>
        <v>0</v>
      </c>
      <c r="H10" s="1028">
        <f t="shared" si="0"/>
        <v>0</v>
      </c>
      <c r="I10" s="1028">
        <f>SUM(I8:I9)</f>
        <v>0</v>
      </c>
      <c r="J10" s="1028">
        <f>SUM(J8:J9)</f>
        <v>51.35294117647058</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0.18094590146939146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62.357142857142847</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73.361344537815114</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62.357142857142847</v>
      </c>
      <c r="C20" s="1028">
        <f>SUM(C17:C19)</f>
        <v>0</v>
      </c>
      <c r="D20" s="1028">
        <f t="shared" ref="D20:H20" si="2">SUM(D17:D19)</f>
        <v>0</v>
      </c>
      <c r="E20" s="1028">
        <f t="shared" si="2"/>
        <v>0</v>
      </c>
      <c r="F20" s="1028">
        <f t="shared" si="2"/>
        <v>0</v>
      </c>
      <c r="G20" s="1028">
        <f t="shared" si="2"/>
        <v>0</v>
      </c>
      <c r="H20" s="1028">
        <f t="shared" si="2"/>
        <v>0</v>
      </c>
      <c r="I20" s="1028">
        <f>SUM(I17:I19)</f>
        <v>0</v>
      </c>
      <c r="J20" s="1028">
        <f>SUM(J17:J19)</f>
        <v>73.361344537815114</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0.18094590146939146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2020-06-20T15:26:42Z</dcterms:modified>
</cp:coreProperties>
</file>