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8" i="15"/>
  <c r="C20" i="15" s="1"/>
  <c r="D40" i="14" s="1"/>
  <c r="C10" i="13"/>
  <c r="C12" i="13" s="1"/>
  <c r="D41" i="14" s="1"/>
  <c r="D46" i="14" s="1"/>
  <c r="D61" i="14" s="1"/>
  <c r="D63" i="14" s="1"/>
  <c r="C22" i="59"/>
  <c r="C56" i="22"/>
  <c r="C58" i="22" s="1"/>
  <c r="D49" i="14" s="1"/>
  <c r="D52" i="14" s="1"/>
  <c r="C17" i="4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<sst xmlns="http://schemas.openxmlformats.org/spreadsheetml/2006/main" count="2382" uniqueCount="874">
  <si>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</si>
  <si>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</si>
  <si>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</si>
  <si>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</si>
  <si>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</si>
  <si>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</si>
  <si>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</si>
  <si>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</si>
  <si>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</si>
  <si>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</si>
  <si>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</si>
  <si>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</si>
  <si>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</si>
  <si>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</si>
  <si>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</si>
  <si>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</si>
  <si>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</si>
  <si>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</si>
  <si>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</si>
  <si>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</si>
  <si>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</si>
  <si>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</si>
  <si>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</si>
  <si>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</si>
  <si>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</si>
  <si>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</si>
  <si>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</si>
  <si>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</si>
  <si>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</si>
  <si>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</si>
  <si>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</si>
  <si>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</si>
  <si>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</si>
  <si>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</si>
  <si>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</si>
  <si>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</si>
  <si>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</si>
  <si>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</si>
  <si>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</si>
  <si>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</si>
  <si>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</si>
  <si>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</si>
  <si>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</si>
  <si>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</si>
  <si>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</si>
  <si>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</si>
  <si>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</si>
  <si>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</si>
  <si>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</si>
  <si>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</si>
  <si>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</si>
  <si>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</si>
  <si>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</si>
  <si>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</si>
  <si>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</si>
  <si>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</si>
  <si>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</si>
  <si>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</si>
  <si>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</si>
  <si>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</si>
  <si>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</si>
  <si>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</si>
  <si>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</si>
  <si>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</si>
  <si>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</si>
  <si>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</si>
  <si>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</si>
  <si>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</si>
  <si>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</si>
  <si>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</si>
  <si>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</si>
  <si>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</si>
  <si>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</si>
  <si>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</si>
  <si>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</si>
  <si>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</si>
  <si>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</si>
  <si>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</si>
  <si>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</si>
  <si>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</si>
  <si>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</si>
  <si>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</si>
  <si>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</si>
  <si>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</si>
  <si>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</si>
  <si>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</si>
  <si>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</si>
  <si>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</si>
  <si>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</si>
  <si>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</si>
  <si>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</si>
  <si>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</si>
  <si>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</si>
  <si>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</si>
  <si>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</si>
  <si>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</si>
  <si>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</si>
  <si>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</si>
  <si>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</si>
  <si>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</si>
  <si>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</si>
  <si>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</si>
  <si>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</si>
  <si>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</si>
  <si>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</si>
  <si>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</si>
  <si>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</si>
  <si>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</si>
  <si>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</si>
  <si>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</si>
  <si>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</si>
  <si>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</si>
  <si>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</si>
  <si>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</si>
  <si>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</si>
  <si>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</si>
  <si>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</si>
  <si>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</si>
  <si>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</si>
  <si>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</si>
  <si>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</si>
  <si>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</si>
  <si>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</si>
  <si>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</si>
  <si>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</si>
  <si>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</si>
  <si>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</si>
  <si>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</si>
  <si>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</si>
  <si>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</si>
  <si>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</si>
  <si>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</si>
  <si>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</si>
  <si>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</si>
  <si>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</si>
  <si>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</si>
  <si>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</si>
  <si>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</si>
  <si>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</si>
  <si>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</si>
  <si>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</si>
  <si>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</si>
  <si>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</si>
  <si>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</si>
  <si>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</si>
  <si>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</si>
  <si>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</si>
  <si>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</si>
  <si>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</si>
  <si>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</si>
  <si>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</si>
  <si>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</si>
  <si>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</si>
  <si>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</si>
  <si>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</si>
  <si>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</si>
  <si>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</si>
  <si>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</si>
  <si>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</si>
  <si>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</si>
  <si>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</si>
  <si>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</si>
  <si>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</si>
  <si>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</si>
  <si>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</si>
  <si>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</si>
  <si>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</si>
  <si>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</si>
  <si>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</si>
  <si>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</si>
  <si>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</si>
  <si>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</si>
  <si>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</si>
  <si>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</si>
  <si>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</si>
  <si>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</si>
  <si>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</si>
  <si>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</si>
  <si>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</si>
  <si>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</si>
  <si>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</si>
  <si>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</si>
  <si>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</si>
  <si>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</si>
  <si>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</si>
  <si>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</si>
  <si>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</si>
  <si>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</si>
  <si>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</si>
  <si>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</si>
  <si>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</si>
  <si>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</si>
  <si>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</si>
  <si>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</si>
  <si>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</si>
  <si>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</si>
  <si>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</si>
  <si>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</si>
  <si>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</si>
  <si>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</si>
  <si>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</si>
  <si>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</si>
  <si>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</si>
  <si>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</si>
  <si>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</si>
  <si>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</si>
  <si>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</si>
  <si>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</si>
  <si>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</si>
  <si>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</si>
  <si>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</si>
  <si>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</si>
  <si>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</si>
  <si>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</si>
  <si>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</si>
  <si>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</si>
  <si>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</si>
  <si>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</si>
  <si>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</si>
  <si>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</si>
  <si>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</si>
  <si>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</si>
  <si>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</si>
  <si>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</si>
  <si>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</si>
  <si>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</si>
  <si>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</si>
  <si>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</si>
  <si>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</si>
  <si>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</si>
  <si>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</si>
  <si>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</si>
  <si>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</si>
  <si>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</si>
  <si>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</si>
  <si>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</si>
  <si>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</si>
  <si>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</si>
  <si>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</si>
  <si>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</si>
  <si>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</si>
  <si>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</si>
  <si>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</si>
  <si>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</si>
  <si>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</si>
  <si>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</si>
  <si>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</si>
  <si>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</si>
  <si>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</si>
  <si>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</si>
  <si>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</si>
  <si>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</si>
  <si>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</si>
  <si>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</si>
  <si>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</si>
  <si>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</si>
  <si>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</si>
  <si>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</si>
  <si>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</si>
  <si>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</si>
  <si>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</si>
  <si>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</si>
  <si>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</si>
  <si>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</si>
  <si>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</si>
  <si>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</si>
  <si>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</si>
  <si>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</si>
  <si>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</si>
  <si>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</si>
  <si>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</si>
  <si>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</si>
  <si>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</si>
  <si>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</si>
  <si>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</si>
  <si>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</si>
  <si>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</si>
  <si>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</si>
  <si>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</si>
  <si>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</si>
  <si>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</si>
  <si>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</si>
  <si>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</si>
  <si>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</si>
  <si>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</si>
  <si>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</si>
  <si>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</si>
  <si>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</si>
  <si>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</si>
  <si>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</si>
  <si>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</si>
  <si>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</si>
  <si>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</si>
  <si>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</si>
  <si>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</si>
  <si>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</si>
  <si>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</si>
  <si>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</si>
  <si>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</si>
  <si>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</si>
  <si>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</si>
  <si>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</si>
  <si>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</si>
  <si>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</si>
  <si>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</si>
  <si>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</si>
  <si>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</si>
  <si>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</si>
  <si>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</si>
  <si>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</si>
  <si>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</si>
  <si>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</si>
  <si>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</si>
  <si>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</si>
  <si>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</si>
  <si>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</si>
  <si>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</si>
  <si>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</si>
  <si>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</si>
  <si>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</si>
  <si>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</si>
  <si>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</si>
  <si>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</si>
  <si>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</si>
  <si>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</si>
  <si>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</si>
  <si>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</si>
  <si>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</si>
  <si>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</si>
  <si>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</si>
  <si>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</si>
  <si>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</si>
  <si>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</si>
  <si>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</si>
  <si>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</si>
  <si>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</si>
  <si>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</si>
  <si>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</si>
  <si>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</si>
  <si>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</si>
  <si>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</si>
  <si>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</si>
  <si>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</si>
  <si>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</si>
  <si>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</si>
  <si>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</si>
  <si>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</si>
  <si>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</si>
  <si>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</si>
  <si>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</si>
  <si>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</si>
  <si>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</si>
  <si>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</si>
  <si>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</si>
  <si>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</si>
  <si>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</si>
  <si>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</si>
  <si>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</si>
  <si>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</si>
  <si>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</si>
  <si>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</si>
  <si>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</si>
  <si>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</si>
  <si>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</si>
  <si>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</si>
  <si>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</si>
  <si>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</si>
  <si>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</si>
  <si>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</si>
  <si>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</si>
  <si>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</si>
  <si>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</si>
  <si>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</si>
  <si>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</si>
  <si>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</si>
  <si>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</si>
  <si>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</si>
  <si>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</si>
  <si>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</si>
  <si>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</si>
  <si>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</si>
  <si>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</si>
  <si>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</si>
  <si>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</si>
  <si>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</si>
  <si>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</si>
  <si>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</si>
  <si>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</si>
  <si>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</si>
  <si>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</si>
  <si>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</si>
  <si>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</si>
  <si>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</si>
  <si>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</si>
  <si>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</si>
  <si>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</si>
  <si>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</si>
  <si>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</si>
  <si>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</si>
  <si>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</si>
  <si>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</si>
  <si>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</si>
  <si>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</si>
  <si>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</si>
  <si>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</si>
  <si>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</si>
  <si>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</si>
  <si>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</si>
  <si>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</si>
  <si>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</si>
  <si>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</si>
  <si>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</si>
  <si>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</si>
  <si>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</si>
  <si>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</si>
  <si>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</si>
  <si>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</si>
  <si>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</si>
  <si>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</si>
  <si>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</si>
  <si>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</si>
  <si>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</si>
  <si>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</si>
  <si>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</si>
  <si>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</si>
  <si>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</si>
  <si>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</si>
  <si>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</si>
  <si>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</si>
  <si>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</si>
  <si>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</si>
  <si>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</si>
  <si>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</si>
  <si>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</si>
  <si>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</si>
  <si>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</si>
  <si>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</si>
  <si>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</si>
  <si>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</si>
  <si>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</si>
  <si>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</si>
  <si>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</si>
  <si>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</si>
  <si>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</si>
  <si>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</si>
  <si>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</si>
  <si>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</si>
  <si>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</si>
  <si>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</si>
  <si>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</si>
  <si>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</si>
  <si>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</si>
  <si>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</si>
  <si>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</si>
  <si>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</si>
  <si>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</si>
  <si>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</si>
  <si>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</si>
  <si>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</si>
  <si>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</si>
  <si>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</si>
  <si>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</si>
  <si>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</si>
  <si>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</si>
  <si>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</si>
  <si>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</si>
  <si>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</si>
  <si>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</si>
  <si>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</si>
  <si>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</si>
  <si>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</si>
  <si>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</si>
  <si>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</si>
  <si>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</si>
  <si>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</si>
  <si>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</si>
  <si>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</si>
  <si>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</si>
  <si>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</si>
  <si>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</si>
  <si>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</si>
  <si>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</si>
  <si>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</si>
  <si>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</si>
  <si>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</si>
  <si>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</si>
  <si>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</si>
  <si>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</si>
  <si>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</si>
  <si>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</si>
  <si>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</si>
  <si>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</si>
  <si>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</si>
  <si>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</si>
  <si>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</si>
  <si>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</si>
  <si>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</si>
  <si>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</si>
  <si>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</si>
  <si>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</si>
  <si>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</si>
  <si>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</si>
  <si>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</si>
  <si>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</si>
  <si>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</si>
  <si>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</si>
  <si>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</si>
  <si>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</si>
  <si>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</si>
  <si>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</si>
  <si>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</si>
  <si>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</si>
  <si>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</si>
  <si>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</si>
  <si>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</si>
  <si>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</si>
  <si>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</si>
  <si>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</si>
  <si>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</si>
  <si>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</si>
  <si>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</si>
  <si>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</si>
  <si>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</si>
  <si>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</si>
  <si>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</si>
  <si>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</si>
  <si>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</si>
  <si>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</si>
  <si>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</si>
  <si>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</si>
  <si>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</si>
  <si>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</si>
  <si>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</si>
  <si>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</si>
  <si>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</si>
  <si>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</si>
  <si>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</si>
  <si>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</si>
  <si>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</si>
  <si>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</si>
  <si>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</si>
  <si>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</si>
  <si>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</si>
  <si>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</si>
  <si>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</si>
  <si>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</si>
  <si>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</si>
  <si>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</si>
  <si>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</si>
  <si>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</si>
  <si>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</si>
  <si>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</si>
  <si>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</si>
  <si>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</si>
  <si>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</si>
  <si>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</si>
  <si>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</si>
  <si>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</si>
  <si>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</si>
  <si>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</si>
  <si>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</si>
  <si>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</si>
  <si>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</si>
  <si>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</si>
  <si>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</si>
  <si>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</si>
  <si>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</si>
  <si>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</si>
  <si>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</si>
  <si>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</si>
  <si>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</si>
  <si>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</si>
  <si>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</si>
  <si>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</si>
  <si>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</si>
  <si>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</si>
  <si>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</si>
  <si>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</si>
  <si>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</si>
  <si>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</si>
  <si>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</si>
  <si>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</si>
  <si>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</si>
  <si>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</si>
  <si>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</si>
  <si>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</si>
  <si>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</si>
  <si>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</si>
  <si>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</si>
  <si>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</si>
  <si>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</si>
  <si>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</si>
  <si>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</si>
  <si>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</si>
  <si>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</si>
  <si>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</si>
  <si>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</si>
  <si>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</si>
  <si>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</si>
  <si>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</si>
  <si>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</si>
  <si>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</si>
  <si>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</si>
  <si>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</si>
  <si>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</si>
  <si>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</si>
  <si>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</si>
  <si>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</si>
  <si>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</si>
  <si>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</si>
  <si>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</si>
  <si>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</si>
  <si>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</si>
  <si>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</si>
  <si>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</si>
  <si>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</si>
  <si>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</si>
  <si>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</si>
  <si>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</si>
  <si>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</si>
  <si>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</si>
  <si>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</si>
  <si>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</si>
  <si>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</si>
  <si>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</si>
  <si>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</si>
  <si>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</si>
  <si>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</si>
  <si>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</si>
  <si>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</si>
  <si>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</si>
  <si>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</si>
  <si>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</si>
  <si>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</si>
  <si>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</si>
  <si>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</si>
  <si>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</si>
  <si>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</si>
  <si>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</si>
  <si>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</si>
  <si>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</si>
  <si>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</si>
  <si>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</si>
  <si>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</si>
  <si>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</si>
  <si>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</si>
  <si>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</si>
  <si>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</si>
  <si>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</si>
  <si>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</si>
  <si>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</si>
  <si>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</si>
  <si>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</si>
  <si>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</si>
  <si>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</si>
  <si>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</si>
  <si>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</si>
  <si>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</si>
  <si>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</si>
  <si>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</si>
  <si>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</si>
  <si>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</si>
  <si>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</si>
  <si>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</si>
  <si>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</si>
  <si>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</si>
  <si>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</si>
  <si>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</si>
  <si>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</si>
  <si>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</si>
  <si>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</si>
  <si>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</si>
  <si>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</si>
  <si>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</si>
  <si>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</si>
  <si>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</si>
  <si>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</si>
  <si>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</si>
  <si>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</si>
  <si>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</si>
  <si>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</si>
  <si>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</si>
  <si>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</si>
  <si>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</si>
  <si>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</si>
  <si>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</si>
  <si>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</si>
  <si>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</si>
  <si>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</si>
  <si>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</si>
  <si>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</si>
  <si>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</si>
  <si>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</si>
  <si>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</si>
  <si>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</si>
  <si>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</si>
  <si>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</si>
  <si>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</si>
  <si>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</si>
  <si>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</si>
  <si>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</si>
  <si>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</si>
  <si>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</si>
  <si>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</si>
  <si>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</si>
  <si>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</si>
  <si>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</si>
  <si>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</si>
  <si>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</si>
  <si>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</si>
  <si>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</si>
  <si>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</si>
  <si>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</si>
  <si>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</si>
  <si>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</si>
  <si>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</si>
  <si>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</si>
  <si>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</si>
  <si>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</si>
  <si>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</si>
  <si>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</si>
  <si>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</si>
  <si>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</si>
  <si>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</si>
  <si>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</si>
  <si>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</si>
  <si>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</si>
  <si>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</si>
  <si>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</si>
  <si>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</si>
  <si>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</si>
  <si>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</si>
  <si>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</si>
  <si>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</si>
  <si>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</si>
  <si>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</si>
  <si>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</si>
  <si>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</si>
  <si>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</si>
  <si>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</si>
  <si>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</si>
  <si>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</si>
  <si>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</si>
  <si>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</si>
  <si>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</si>
  <si>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</si>
  <si>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</si>
  <si>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</si>
  <si>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</si>
  <si>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</si>
  <si>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</si>
  <si>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</si>
  <si>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</si>
  <si>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</si>
  <si>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</si>
  <si>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</si>
  <si>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</si>
  <si>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</si>
  <si>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</si>
  <si>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</si>
  <si>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</si>
  <si>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</si>
  <si>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</si>
  <si>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</si>
  <si>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</si>
  <si>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</si>
  <si>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</si>
  <si>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</si>
  <si>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</si>
  <si>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</si>
  <si>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</si>
  <si>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</si>
  <si>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</si>
  <si>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</si>
  <si>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</si>
  <si>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</si>
  <si>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</si>
  <si>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</si>
  <si>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</si>
  <si>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</si>
  <si>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</si>
  <si>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</si>
  <si>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</si>
  <si>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</si>
  <si>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</si>
  <si>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</si>
  <si>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</si>
  <si>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</si>
  <si>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</si>
  <si>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</si>
  <si>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</si>
  <si>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</si>
  <si>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</si>
  <si>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</si>
  <si>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</si>
  <si>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</si>
  <si>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</si>
  <si>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</si>
  <si>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</si>
  <si>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</si>
  <si>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</si>
  <si>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</si>
  <si>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</si>
  <si>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</si>
  <si>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</si>
  <si>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</si>
  <si>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</si>
  <si>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</si>
  <si>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</si>
  <si>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</si>
  <si>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</si>
  <si>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</si>
  <si>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</si>
  <si>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</si>
  <si>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</si>
  <si>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</si>
  <si>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</si>
  <si>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</si>
  <si>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</si>
  <si>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</si>
  <si>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</si>
  <si>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</si>
  <si>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</si>
  <si>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</si>
  <si>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</si>
  <si>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</si>
  <si>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</si>
  <si>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</si>
  <si>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</si>
  <si>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</si>
  <si>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</si>
  <si>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</si>
  <si>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</si>
  <si>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</si>
  <si>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</si>
  <si>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</si>
  <si>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</si>
  <si>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</si>
  <si>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</si>
  <si>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</si>
  <si>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</si>
  <si>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</si>
  <si>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</si>
  <si>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</si>
  <si>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</si>
  <si>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</si>
  <si>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</si>
  <si>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</si>
  <si>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</si>
  <si>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</si>
  <si>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</si>
  <si>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</si>
  <si>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</si>
  <si>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</si>
  <si>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</si>
  <si>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</si>
  <si>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</si>
  <si>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</si>
  <si>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</si>
  <si>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</si>
  <si>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</si>
  <si>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</si>
  <si>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72025</t>
  </si>
  <si>
    <t>NEERPELT</t>
  </si>
  <si>
    <t>referentietaak LNE (2017); Jaarverslag De Lijn</t>
  </si>
  <si>
    <t>Parochiehuis cafe</t>
  </si>
  <si>
    <t>WKK-0909</t>
  </si>
  <si>
    <t>Brandstofcel</t>
  </si>
  <si>
    <t>brandstofcel</t>
  </si>
  <si>
    <t>Dorpsstraat 26 / 1</t>
  </si>
  <si>
    <t>Inter-energa (via INFRAX)</t>
  </si>
  <si>
    <t>Parochiehuis zaal</t>
  </si>
  <si>
    <t>WKK-0910</t>
  </si>
  <si>
    <t>Dorpsstraat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</si>
</sst>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141970.47630429768</c:v>
                </c:pt>
                <c:pt idx="1">
                  <c:v>33396.88316088594</c:v>
                </c:pt>
                <c:pt idx="2">
                  <c:v>1229.6767649999999</c:v>
                </c:pt>
                <c:pt idx="3">
                  <c:v>7066.0236435423394</c:v>
                </c:pt>
                <c:pt idx="4">
                  <c:v>4357.3139669379998</c:v>
                </c:pt>
                <c:pt idx="5">
                  <c:v>57079.775266881094</c:v>
                </c:pt>
                <c:pt idx="6">
                  <c:v>1622.3850256260948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141970.47630429768</c:v>
                </c:pt>
                <c:pt idx="1">
                  <c:v>33396.88316088594</c:v>
                </c:pt>
                <c:pt idx="2">
                  <c:v>1229.6767649999999</c:v>
                </c:pt>
                <c:pt idx="3">
                  <c:v>7066.0236435423394</c:v>
                </c:pt>
                <c:pt idx="4">
                  <c:v>4357.3139669379998</c:v>
                </c:pt>
                <c:pt idx="5">
                  <c:v>57079.775266881094</c:v>
                </c:pt>
                <c:pt idx="6">
                  <c:v>1622.3850256260948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24763.835352609185</c:v>
                </c:pt>
                <c:pt idx="1">
                  <c:v>6464.2559407181807</c:v>
                </c:pt>
                <c:pt idx="2">
                  <c:v>224.79526118432076</c:v>
                </c:pt>
                <c:pt idx="3">
                  <c:v>1780.8566377572222</c:v>
                </c:pt>
                <c:pt idx="4">
                  <c:v>870.69762566092413</c:v>
                </c:pt>
                <c:pt idx="5">
                  <c:v>14154.530229661024</c:v>
                </c:pt>
                <c:pt idx="6">
                  <c:v>410.88010703072894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24763.835352609185</c:v>
                </c:pt>
                <c:pt idx="1">
                  <c:v>6464.2559407181807</c:v>
                </c:pt>
                <c:pt idx="2">
                  <c:v>224.79526118432076</c:v>
                </c:pt>
                <c:pt idx="3">
                  <c:v>1780.8566377572222</c:v>
                </c:pt>
                <c:pt idx="4">
                  <c:v>870.69762566092413</c:v>
                </c:pt>
                <c:pt idx="5">
                  <c:v>14154.530229661024</c:v>
                </c:pt>
                <c:pt idx="6">
                  <c:v>410.88010703072894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72025</v>
      </c>
      <c r="B6" s="392"/>
      <c r="C6" s="393"/>
    </row>
    <row r="7" spans="1:7" s="390" customFormat="1" ht="15.75" customHeight="1">
      <c r="A7" s="394" t="str">
        <f>txtMunicipality</f>
        <v>NEERPELT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0.18280841566061531</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0.18280841566061531</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7188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1742.8230500070881</v>
      </c>
      <c r="C14" s="332"/>
      <c r="D14" s="332"/>
      <c r="E14" s="332"/>
      <c r="F14" s="332"/>
    </row>
    <row r="15" spans="1:6">
      <c r="A15" s="1310" t="s">
        <v>183</v>
      </c>
      <c r="B15" s="1311">
        <v>2038.8775974950186</v>
      </c>
      <c r="C15" s="332"/>
      <c r="D15" s="332"/>
      <c r="E15" s="332"/>
      <c r="F15" s="332"/>
    </row>
    <row r="16" spans="1:6">
      <c r="A16" s="1310" t="s">
        <v>6</v>
      </c>
      <c r="B16" s="1311">
        <v>1806.7130317353142</v>
      </c>
      <c r="C16" s="332"/>
      <c r="D16" s="332"/>
      <c r="E16" s="332"/>
      <c r="F16" s="332"/>
    </row>
    <row r="17" spans="1:6">
      <c r="A17" s="1310" t="s">
        <v>7</v>
      </c>
      <c r="B17" s="1311">
        <v>186.95384615384617</v>
      </c>
      <c r="C17" s="332"/>
      <c r="D17" s="332"/>
      <c r="E17" s="332"/>
      <c r="F17" s="332"/>
    </row>
    <row r="18" spans="1:6">
      <c r="A18" s="1310" t="s">
        <v>8</v>
      </c>
      <c r="B18" s="1311">
        <v>916.31746031746036</v>
      </c>
      <c r="C18" s="332"/>
      <c r="D18" s="332"/>
      <c r="E18" s="332"/>
      <c r="F18" s="332"/>
    </row>
    <row r="19" spans="1:6">
      <c r="A19" s="1310" t="s">
        <v>9</v>
      </c>
      <c r="B19" s="1311">
        <v>874.25793382849429</v>
      </c>
      <c r="C19" s="332"/>
      <c r="D19" s="332"/>
      <c r="E19" s="332"/>
      <c r="F19" s="332"/>
    </row>
    <row r="20" spans="1:6">
      <c r="A20" s="1310" t="s">
        <v>10</v>
      </c>
      <c r="B20" s="1311">
        <v>546.65379310344827</v>
      </c>
      <c r="C20" s="332"/>
      <c r="D20" s="332"/>
      <c r="E20" s="332"/>
      <c r="F20" s="332"/>
    </row>
    <row r="21" spans="1:6">
      <c r="A21" s="1310" t="s">
        <v>11</v>
      </c>
      <c r="B21" s="1311">
        <v>3597</v>
      </c>
      <c r="C21" s="332"/>
      <c r="D21" s="332"/>
      <c r="E21" s="332"/>
      <c r="F21" s="332"/>
    </row>
    <row r="22" spans="1:6">
      <c r="A22" s="1310" t="s">
        <v>12</v>
      </c>
      <c r="B22" s="1311">
        <v>9392.34642178594</v>
      </c>
      <c r="C22" s="332"/>
      <c r="D22" s="332"/>
      <c r="E22" s="332"/>
      <c r="F22" s="332"/>
    </row>
    <row r="23" spans="1:6">
      <c r="A23" s="1310" t="s">
        <v>13</v>
      </c>
      <c r="B23" s="1311">
        <v>191</v>
      </c>
      <c r="C23" s="332"/>
      <c r="D23" s="332"/>
      <c r="E23" s="332"/>
      <c r="F23" s="332"/>
    </row>
    <row r="24" spans="1:6">
      <c r="A24" s="1310" t="s">
        <v>14</v>
      </c>
      <c r="B24" s="1311">
        <v>9</v>
      </c>
      <c r="C24" s="332"/>
      <c r="D24" s="332"/>
      <c r="E24" s="332"/>
      <c r="F24" s="332"/>
    </row>
    <row r="25" spans="1:6">
      <c r="A25" s="1310" t="s">
        <v>15</v>
      </c>
      <c r="B25" s="1311">
        <v>911</v>
      </c>
      <c r="C25" s="332"/>
      <c r="D25" s="332"/>
      <c r="E25" s="332"/>
      <c r="F25" s="332"/>
    </row>
    <row r="26" spans="1:6">
      <c r="A26" s="1310" t="s">
        <v>16</v>
      </c>
      <c r="B26" s="1311">
        <v>159.12925170068027</v>
      </c>
      <c r="C26" s="332"/>
      <c r="D26" s="332"/>
      <c r="E26" s="332"/>
      <c r="F26" s="332"/>
    </row>
    <row r="27" spans="1:6">
      <c r="A27" s="1310" t="s">
        <v>17</v>
      </c>
      <c r="B27" s="1311">
        <v>4.5</v>
      </c>
      <c r="C27" s="332"/>
      <c r="D27" s="332"/>
      <c r="E27" s="332"/>
      <c r="F27" s="332"/>
    </row>
    <row r="28" spans="1:6" s="43" customFormat="1">
      <c r="A28" s="1312" t="s">
        <v>18</v>
      </c>
      <c r="B28" s="1313">
        <v>141457.72511664074</v>
      </c>
      <c r="C28" s="338"/>
      <c r="D28" s="338"/>
      <c r="E28" s="338"/>
      <c r="F28" s="338"/>
    </row>
    <row r="29" spans="1:6">
      <c r="A29" s="1312" t="s">
        <v>699</v>
      </c>
      <c r="B29" s="1313">
        <v>61.185185185185183</v>
      </c>
      <c r="C29" s="338"/>
      <c r="D29" s="338"/>
      <c r="E29" s="338"/>
      <c r="F29" s="338"/>
    </row>
    <row r="30" spans="1:6">
      <c r="A30" s="1305" t="s">
        <v>700</v>
      </c>
      <c r="B30" s="1314">
        <v>24.810810810810811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73743</v>
      </c>
    </row>
    <row r="39" spans="1:6">
      <c r="A39" s="1310" t="s">
        <v>29</v>
      </c>
      <c r="B39" s="1310" t="s">
        <v>30</v>
      </c>
      <c r="C39" s="1311">
        <v>5010</v>
      </c>
      <c r="D39" s="1311">
        <v>78217942.649000004</v>
      </c>
      <c r="E39" s="1311">
        <v>7201</v>
      </c>
      <c r="F39" s="1311">
        <v>23887652.113000002</v>
      </c>
    </row>
    <row r="40" spans="1:6">
      <c r="A40" s="1310" t="s">
        <v>29</v>
      </c>
      <c r="B40" s="1310" t="s">
        <v>28</v>
      </c>
      <c r="C40" s="1311">
        <v>0</v>
      </c>
      <c r="D40" s="1311">
        <v>0</v>
      </c>
      <c r="E40" s="1311">
        <v>0</v>
      </c>
      <c r="F40" s="1311">
        <v>0</v>
      </c>
    </row>
    <row r="41" spans="1:6">
      <c r="A41" s="1310" t="s">
        <v>31</v>
      </c>
      <c r="B41" s="1310" t="s">
        <v>32</v>
      </c>
      <c r="C41" s="1311">
        <v>64</v>
      </c>
      <c r="D41" s="1311">
        <v>1298407.06</v>
      </c>
      <c r="E41" s="1311">
        <v>137</v>
      </c>
      <c r="F41" s="1311">
        <v>1118976.554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293259.56</v>
      </c>
      <c r="E44" s="1311">
        <v>21</v>
      </c>
      <c r="F44" s="1311">
        <v>203242.378</v>
      </c>
    </row>
    <row r="45" spans="1:6">
      <c r="A45" s="1310" t="s">
        <v>31</v>
      </c>
      <c r="B45" s="1310" t="s">
        <v>36</v>
      </c>
      <c r="C45" s="1311">
        <v>0</v>
      </c>
      <c r="D45" s="1311">
        <v>0</v>
      </c>
      <c r="E45" s="1311">
        <v>3</v>
      </c>
      <c r="F45" s="1311">
        <v>295945.67700000003</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39835.127999999997</v>
      </c>
    </row>
    <row r="48" spans="1:6">
      <c r="A48" s="1310" t="s">
        <v>31</v>
      </c>
      <c r="B48" s="1310" t="s">
        <v>28</v>
      </c>
      <c r="C48" s="1311">
        <v>3</v>
      </c>
      <c r="D48" s="1311">
        <v>171722.095</v>
      </c>
      <c r="E48" s="1311">
        <v>0</v>
      </c>
      <c r="F48" s="1311">
        <v>0</v>
      </c>
    </row>
    <row r="49" spans="1:6">
      <c r="A49" s="1310" t="s">
        <v>31</v>
      </c>
      <c r="B49" s="1310" t="s">
        <v>39</v>
      </c>
      <c r="C49" s="1311">
        <v>4</v>
      </c>
      <c r="D49" s="1311">
        <v>77948.498000000007</v>
      </c>
      <c r="E49" s="1311">
        <v>7</v>
      </c>
      <c r="F49" s="1311">
        <v>42654.945</v>
      </c>
    </row>
    <row r="50" spans="1:6">
      <c r="A50" s="1310" t="s">
        <v>31</v>
      </c>
      <c r="B50" s="1310" t="s">
        <v>40</v>
      </c>
      <c r="C50" s="1311">
        <v>5</v>
      </c>
      <c r="D50" s="1311">
        <v>70366.206000000006</v>
      </c>
      <c r="E50" s="1311">
        <v>8</v>
      </c>
      <c r="F50" s="1311">
        <v>105888.15</v>
      </c>
    </row>
    <row r="51" spans="1:6">
      <c r="A51" s="1310" t="s">
        <v>41</v>
      </c>
      <c r="B51" s="1310" t="s">
        <v>42</v>
      </c>
      <c r="C51" s="1311">
        <v>9</v>
      </c>
      <c r="D51" s="1311">
        <v>174209.69500000001</v>
      </c>
      <c r="E51" s="1311">
        <v>63</v>
      </c>
      <c r="F51" s="1311">
        <v>1520341.5319999999</v>
      </c>
    </row>
    <row r="52" spans="1:6">
      <c r="A52" s="1310" t="s">
        <v>41</v>
      </c>
      <c r="B52" s="1310" t="s">
        <v>28</v>
      </c>
      <c r="C52" s="1311">
        <v>0</v>
      </c>
      <c r="D52" s="1311">
        <v>0</v>
      </c>
      <c r="E52" s="1311">
        <v>0</v>
      </c>
      <c r="F52" s="1311">
        <v>0</v>
      </c>
    </row>
    <row r="53" spans="1:6">
      <c r="A53" s="1310" t="s">
        <v>43</v>
      </c>
      <c r="B53" s="1310" t="s">
        <v>44</v>
      </c>
      <c r="C53" s="1311">
        <v>76</v>
      </c>
      <c r="D53" s="1311">
        <v>5060554.5920000002</v>
      </c>
      <c r="E53" s="1311">
        <v>163</v>
      </c>
      <c r="F53" s="1311">
        <v>720687.701</v>
      </c>
    </row>
    <row r="54" spans="1:6">
      <c r="A54" s="1310" t="s">
        <v>45</v>
      </c>
      <c r="B54" s="1310" t="s">
        <v>46</v>
      </c>
      <c r="C54" s="1311">
        <v>0</v>
      </c>
      <c r="D54" s="1311">
        <v>0</v>
      </c>
      <c r="E54" s="1311">
        <v>3</v>
      </c>
      <c r="F54" s="1311">
        <v>1229676.7649999999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49</v>
      </c>
      <c r="D57" s="1311">
        <v>1230707.247</v>
      </c>
      <c r="E57" s="1311">
        <v>94</v>
      </c>
      <c r="F57" s="1311">
        <v>2186876.5520000001</v>
      </c>
    </row>
    <row r="58" spans="1:6">
      <c r="A58" s="1310" t="s">
        <v>48</v>
      </c>
      <c r="B58" s="1310" t="s">
        <v>50</v>
      </c>
      <c r="C58" s="1311">
        <v>44</v>
      </c>
      <c r="D58" s="1311">
        <v>1910744.6569999999</v>
      </c>
      <c r="E58" s="1311">
        <v>55</v>
      </c>
      <c r="F58" s="1311">
        <v>1332898.2439999999</v>
      </c>
    </row>
    <row r="59" spans="1:6">
      <c r="A59" s="1310" t="s">
        <v>48</v>
      </c>
      <c r="B59" s="1310" t="s">
        <v>51</v>
      </c>
      <c r="C59" s="1311">
        <v>90</v>
      </c>
      <c r="D59" s="1311">
        <v>3762090.8840000001</v>
      </c>
      <c r="E59" s="1311">
        <v>172</v>
      </c>
      <c r="F59" s="1311">
        <v>4545058.8839999996</v>
      </c>
    </row>
    <row r="60" spans="1:6">
      <c r="A60" s="1310" t="s">
        <v>48</v>
      </c>
      <c r="B60" s="1310" t="s">
        <v>52</v>
      </c>
      <c r="C60" s="1311">
        <v>52</v>
      </c>
      <c r="D60" s="1311">
        <v>3996935.9019999998</v>
      </c>
      <c r="E60" s="1311">
        <v>67</v>
      </c>
      <c r="F60" s="1311">
        <v>1954635.95</v>
      </c>
    </row>
    <row r="61" spans="1:6">
      <c r="A61" s="1310" t="s">
        <v>48</v>
      </c>
      <c r="B61" s="1310" t="s">
        <v>53</v>
      </c>
      <c r="C61" s="1311">
        <v>155</v>
      </c>
      <c r="D61" s="1311">
        <v>4444392.4950000001</v>
      </c>
      <c r="E61" s="1311">
        <v>319</v>
      </c>
      <c r="F61" s="1311">
        <v>3061450.5839999998</v>
      </c>
    </row>
    <row r="62" spans="1:6">
      <c r="A62" s="1310" t="s">
        <v>48</v>
      </c>
      <c r="B62" s="1310" t="s">
        <v>54</v>
      </c>
      <c r="C62" s="1311">
        <v>13</v>
      </c>
      <c r="D62" s="1311">
        <v>2277169.6430000002</v>
      </c>
      <c r="E62" s="1311">
        <v>21</v>
      </c>
      <c r="F62" s="1311">
        <v>1055042.5330000001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67749.096999999994</v>
      </c>
      <c r="E65" s="1311">
        <v>0</v>
      </c>
      <c r="F65" s="1311">
        <v>0</v>
      </c>
    </row>
    <row r="66" spans="1:6">
      <c r="A66" s="1310" t="s">
        <v>55</v>
      </c>
      <c r="B66" s="1310" t="s">
        <v>57</v>
      </c>
      <c r="C66" s="1311">
        <v>0</v>
      </c>
      <c r="D66" s="1311">
        <v>0</v>
      </c>
      <c r="E66" s="1311">
        <v>7</v>
      </c>
      <c r="F66" s="1311">
        <v>66866.638999999996</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99012.497000000003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38406947</v>
      </c>
      <c r="E73" s="453"/>
      <c r="F73" s="332"/>
    </row>
    <row r="74" spans="1:6">
      <c r="A74" s="1310" t="s">
        <v>63</v>
      </c>
      <c r="B74" s="1310" t="s">
        <v>648</v>
      </c>
      <c r="C74" s="1324" t="s">
        <v>650</v>
      </c>
      <c r="D74" s="1325">
        <v>3751772.8986925888</v>
      </c>
      <c r="E74" s="453"/>
      <c r="F74" s="332"/>
    </row>
    <row r="75" spans="1:6">
      <c r="A75" s="1310" t="s">
        <v>64</v>
      </c>
      <c r="B75" s="1310" t="s">
        <v>647</v>
      </c>
      <c r="C75" s="1324" t="s">
        <v>651</v>
      </c>
      <c r="D75" s="1325">
        <v>23416127</v>
      </c>
      <c r="E75" s="453"/>
      <c r="F75" s="332"/>
    </row>
    <row r="76" spans="1:6">
      <c r="A76" s="1310" t="s">
        <v>64</v>
      </c>
      <c r="B76" s="1310" t="s">
        <v>648</v>
      </c>
      <c r="C76" s="1324" t="s">
        <v>652</v>
      </c>
      <c r="D76" s="1325">
        <v>369580.89869258902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450010.20261482202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7841.3565708597571</v>
      </c>
      <c r="C91" s="332"/>
      <c r="D91" s="332"/>
      <c r="E91" s="332"/>
      <c r="F91" s="332"/>
    </row>
    <row r="92" spans="1:6">
      <c r="A92" s="1305" t="s">
        <v>68</v>
      </c>
      <c r="B92" s="1306">
        <v>1007.0832451562356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1945</v>
      </c>
      <c r="C97" s="332"/>
      <c r="D97" s="332"/>
      <c r="E97" s="332"/>
      <c r="F97" s="332"/>
    </row>
    <row r="98" spans="1:6">
      <c r="A98" s="1310" t="s">
        <v>71</v>
      </c>
      <c r="B98" s="1311">
        <v>1</v>
      </c>
      <c r="C98" s="332"/>
      <c r="D98" s="332"/>
      <c r="E98" s="332"/>
      <c r="F98" s="332"/>
    </row>
    <row r="99" spans="1:6">
      <c r="A99" s="1310" t="s">
        <v>72</v>
      </c>
      <c r="B99" s="1311">
        <v>82</v>
      </c>
      <c r="C99" s="332"/>
      <c r="D99" s="332"/>
      <c r="E99" s="332"/>
      <c r="F99" s="332"/>
    </row>
    <row r="100" spans="1:6">
      <c r="A100" s="1310" t="s">
        <v>73</v>
      </c>
      <c r="B100" s="1311">
        <v>308</v>
      </c>
      <c r="C100" s="332"/>
      <c r="D100" s="332"/>
      <c r="E100" s="332"/>
      <c r="F100" s="332"/>
    </row>
    <row r="101" spans="1:6">
      <c r="A101" s="1310" t="s">
        <v>74</v>
      </c>
      <c r="B101" s="1311">
        <v>78</v>
      </c>
      <c r="C101" s="332"/>
      <c r="D101" s="332"/>
      <c r="E101" s="332"/>
      <c r="F101" s="332"/>
    </row>
    <row r="102" spans="1:6">
      <c r="A102" s="1310" t="s">
        <v>75</v>
      </c>
      <c r="B102" s="1311">
        <v>67</v>
      </c>
      <c r="C102" s="332"/>
      <c r="D102" s="332"/>
      <c r="E102" s="332"/>
      <c r="F102" s="332"/>
    </row>
    <row r="103" spans="1:6">
      <c r="A103" s="1310" t="s">
        <v>76</v>
      </c>
      <c r="B103" s="1311">
        <v>77</v>
      </c>
      <c r="C103" s="332"/>
      <c r="D103" s="332"/>
      <c r="E103" s="332"/>
      <c r="F103" s="332"/>
    </row>
    <row r="104" spans="1:6">
      <c r="A104" s="1310" t="s">
        <v>77</v>
      </c>
      <c r="B104" s="1311">
        <v>3173</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20</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325</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47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51200.982562209218</v>
      </c>
      <c r="C3" s="43" t="s">
        <v>169</v>
      </c>
      <c r="D3" s="43"/>
      <c r="E3" s="154"/>
      <c r="F3" s="43"/>
      <c r="G3" s="43"/>
      <c r="H3" s="43"/>
      <c r="I3" s="43"/>
      <c r="J3" s="43"/>
      <c r="K3" s="96"/>
    </row>
    <row r="4" spans="1:11">
      <c r="A4" s="360" t="s">
        <v>170</v>
      </c>
      <c r="B4" s="49">
        <f>IF(ISERROR('SEAP template'!B78+'SEAP template'!C78),0,'SEAP template'!B78+'SEAP template'!C78)</f>
        <v>8865.4398160159926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3.8155555555555551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0.18280841566061531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5.4655255255255248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24.351351351351351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1229.6767649999999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1229.6767649999999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0.18280841566061531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224.79526118432076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23887.652113</v>
      </c>
      <c r="C5" s="17">
        <f>IF(ISERROR('Eigen informatie GS &amp; warmtenet'!B59),0,'Eigen informatie GS &amp; warmtenet'!B59)</f>
        <v>0</v>
      </c>
      <c r="D5" s="30">
        <f>(SUM(HH_hh_gas_kWh,HH_rest_gas_kWh)/1000)*0.903</f>
        <v>70630.802212047012</v>
      </c>
      <c r="E5" s="17">
        <f>B46*B57</f>
        <v>10575.964663850307</v>
      </c>
      <c r="F5" s="17">
        <f>B51*B62</f>
        <v>8596.7772251062233</v>
      </c>
      <c r="G5" s="18"/>
      <c r="H5" s="17"/>
      <c r="I5" s="17"/>
      <c r="J5" s="17">
        <f>B50*B61+C50*C61</f>
        <v>0</v>
      </c>
      <c r="K5" s="17"/>
      <c r="L5" s="17"/>
      <c r="M5" s="17"/>
      <c r="N5" s="17">
        <f>B48*B59+C48*C59</f>
        <v>18856.08743437325</v>
      </c>
      <c r="O5" s="17">
        <f>B69*B70*B71</f>
        <v>686.44954390791293</v>
      </c>
      <c r="P5" s="17">
        <f>B77*B78*B79/1000-B77*B78*B79/1000/B80</f>
        <v>895.38654115322686</v>
      </c>
    </row>
    <row r="6" spans="1:16">
      <c r="A6" s="16" t="s">
        <v>612</v>
      </c>
      <c r="B6" s="786">
        <f>kWh_PV_kleiner_dan_10kW</f>
        <v>7841.3565708597571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31729.008683859756</v>
      </c>
      <c r="C8" s="21">
        <f>C5</f>
        <v>0</v>
      </c>
      <c r="D8" s="21">
        <f>D5</f>
        <v>70630.802212047012</v>
      </c>
      <c r="E8" s="21">
        <f>E5</f>
        <v>10575.964663850307</v>
      </c>
      <c r="F8" s="21">
        <f>F5</f>
        <v>8596.7772251062233</v>
      </c>
      <c r="G8" s="21"/>
      <c r="H8" s="21"/>
      <c r="I8" s="21"/>
      <c r="J8" s="21">
        <f>J5</f>
        <v>0</v>
      </c>
      <c r="K8" s="21"/>
      <c r="L8" s="21">
        <f>L5</f>
        <v>0</v>
      </c>
      <c r="M8" s="21">
        <f>M5</f>
        <v>0</v>
      </c>
      <c r="N8" s="21">
        <f>N5</f>
        <v>18856.08743437325</v>
      </c>
      <c r="O8" s="21">
        <f>O5</f>
        <v>686.44954390791293</v>
      </c>
      <c r="P8" s="21">
        <f>P5</f>
        <v>895.38654115322686</v>
      </c>
    </row>
    <row r="9" spans="1:16">
      <c r="B9" s="19"/>
      <c r="C9" s="19"/>
      <c r="D9" s="258"/>
      <c r="E9" s="19"/>
      <c r="F9" s="19"/>
      <c r="G9" s="19"/>
      <c r="H9" s="19"/>
      <c r="I9" s="19"/>
      <c r="J9" s="19"/>
      <c r="K9" s="19"/>
      <c r="L9" s="19"/>
      <c r="M9" s="19"/>
      <c r="N9" s="19"/>
      <c r="O9" s="19"/>
      <c r="P9" s="19"/>
    </row>
    <row r="10" spans="1:16">
      <c r="A10" s="24" t="s">
        <v>213</v>
      </c>
      <c r="B10" s="25">
        <f ca="1">'EF ele_warmte'!B12</f>
        <v>0.18280841566061531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5800.3298079783071</v>
      </c>
      <c r="C12" s="23">
        <f ca="1">C10*C8</f>
        <v>0</v>
      </c>
      <c r="D12" s="23">
        <f>D8*D10</f>
        <v>14267.422046833497</v>
      </c>
      <c r="E12" s="23">
        <f>E10*E8</f>
        <v>2400.7439786940199</v>
      </c>
      <c r="F12" s="23">
        <f>F10*F8</f>
        <v>2295.3395191033619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1945</v>
      </c>
      <c r="C18" s="166" t="s">
        <v>110</v>
      </c>
      <c r="D18" s="228"/>
      <c r="E18" s="15"/>
    </row>
    <row r="19" spans="1:7">
      <c r="A19" s="171" t="s">
        <v>71</v>
      </c>
      <c r="B19" s="37">
        <f>aantalw2001_ander</f>
        <v>1</v>
      </c>
      <c r="C19" s="166" t="s">
        <v>110</v>
      </c>
      <c r="D19" s="229"/>
      <c r="E19" s="15"/>
    </row>
    <row r="20" spans="1:7">
      <c r="A20" s="171" t="s">
        <v>72</v>
      </c>
      <c r="B20" s="37">
        <f>aantalw2001_propaan</f>
        <v>82</v>
      </c>
      <c r="C20" s="167">
        <f>IF(ISERROR(B20/SUM($B$20,$B$21,$B$22)*100),0,B20/SUM($B$20,$B$21,$B$22)*100)</f>
        <v>17.52136752136752</v>
      </c>
      <c r="D20" s="229"/>
      <c r="E20" s="15"/>
    </row>
    <row r="21" spans="1:7">
      <c r="A21" s="171" t="s">
        <v>73</v>
      </c>
      <c r="B21" s="37">
        <f>aantalw2001_elektriciteit</f>
        <v>308</v>
      </c>
      <c r="C21" s="167">
        <f>IF(ISERROR(B21/SUM($B$20,$B$21,$B$22)*100),0,B21/SUM($B$20,$B$21,$B$22)*100)</f>
        <v>65.811965811965806</v>
      </c>
      <c r="D21" s="229"/>
      <c r="E21" s="15"/>
    </row>
    <row r="22" spans="1:7">
      <c r="A22" s="171" t="s">
        <v>74</v>
      </c>
      <c r="B22" s="37">
        <f>aantalw2001_hout</f>
        <v>78</v>
      </c>
      <c r="C22" s="167">
        <f>IF(ISERROR(B22/SUM($B$20,$B$21,$B$22)*100),0,B22/SUM($B$20,$B$21,$B$22)*100)</f>
        <v>16.666666666666664</v>
      </c>
      <c r="D22" s="229"/>
      <c r="E22" s="15"/>
    </row>
    <row r="23" spans="1:7">
      <c r="A23" s="171" t="s">
        <v>75</v>
      </c>
      <c r="B23" s="37">
        <f>aantalw2001_niet_gespec</f>
        <v>67</v>
      </c>
      <c r="C23" s="166" t="s">
        <v>110</v>
      </c>
      <c r="D23" s="228"/>
      <c r="E23" s="15"/>
    </row>
    <row r="24" spans="1:7">
      <c r="A24" s="171" t="s">
        <v>76</v>
      </c>
      <c r="B24" s="37">
        <f>aantalw2001_steenkool</f>
        <v>77</v>
      </c>
      <c r="C24" s="166" t="s">
        <v>110</v>
      </c>
      <c r="D24" s="229"/>
      <c r="E24" s="15"/>
    </row>
    <row r="25" spans="1:7">
      <c r="A25" s="171" t="s">
        <v>77</v>
      </c>
      <c r="B25" s="37">
        <f>aantalw2001_stookolie</f>
        <v>3173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7188</v>
      </c>
      <c r="C28" s="36"/>
      <c r="D28" s="228"/>
    </row>
    <row r="29" spans="1:7" s="15" customFormat="1">
      <c r="A29" s="230" t="s">
        <v>839</v>
      </c>
      <c r="B29" s="37">
        <f>SUM(HH_hh_gas_aantal,HH_rest_gas_aantal)</f>
        <v>5010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5010</v>
      </c>
      <c r="C32" s="167">
        <f>IF(ISERROR(B32/SUM($B$32,$B$34,$B$35,$B$36,$B$38,$B$39)*100),0,B32/SUM($B$32,$B$34,$B$35,$B$36,$B$38,$B$39)*100)</f>
        <v>70.533577361678169</v>
      </c>
      <c r="D32" s="233"/>
      <c r="G32" s="15"/>
    </row>
    <row r="33" spans="1:7">
      <c r="A33" s="171" t="s">
        <v>71</v>
      </c>
      <c r="B33" s="34" t="s">
        <v>110</v>
      </c>
      <c r="C33" s="167"/>
      <c r="D33" s="233"/>
      <c r="G33" s="15"/>
    </row>
    <row r="34" spans="1:7">
      <c r="A34" s="171" t="s">
        <v>72</v>
      </c>
      <c r="B34" s="33">
        <f>IF((($B$28-$B$32-$B$39-$B$77-$B$38)*C20/100)&lt;0,0,($B$28-$B$32-$B$39-$B$77-$B$38)*C20/100)</f>
        <v>294.09615384615381</v>
      </c>
      <c r="C34" s="167">
        <f>IF(ISERROR(B34/SUM($B$32,$B$34,$B$35,$B$36,$B$38,$B$39)*100),0,B34/SUM($B$32,$B$34,$B$35,$B$36,$B$38,$B$39)*100)</f>
        <v>4.1404498640877634</v>
      </c>
      <c r="D34" s="233"/>
      <c r="G34" s="15"/>
    </row>
    <row r="35" spans="1:7">
      <c r="A35" s="171" t="s">
        <v>73</v>
      </c>
      <c r="B35" s="33">
        <f>IF((($B$28-$B$32-$B$39-$B$77-$B$38)*C21/100)&lt;0,0,($B$28-$B$32-$B$39-$B$77-$B$38)*C21/100)</f>
        <v>1104.6538461538462</v>
      </c>
      <c r="C35" s="167">
        <f>IF(ISERROR(B35/SUM($B$32,$B$34,$B$35,$B$36,$B$38,$B$39)*100),0,B35/SUM($B$32,$B$34,$B$35,$B$36,$B$38,$B$39)*100)</f>
        <v>15.551933635841845</v>
      </c>
      <c r="D35" s="233"/>
      <c r="G35" s="15"/>
    </row>
    <row r="36" spans="1:7">
      <c r="A36" s="171" t="s">
        <v>74</v>
      </c>
      <c r="B36" s="33">
        <f>IF((($B$28-$B$32-$B$39-$B$77-$B$38)*C22/100)&lt;0,0,($B$28-$B$32-$B$39-$B$77-$B$38)*C22/100)</f>
        <v>279.74999999999994</v>
      </c>
      <c r="C36" s="167">
        <f>IF(ISERROR(B36/SUM($B$32,$B$34,$B$35,$B$36,$B$38,$B$39)*100),0,B36/SUM($B$32,$B$34,$B$35,$B$36,$B$38,$B$39)*100)</f>
        <v>3.9384766999859204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414.5</v>
      </c>
      <c r="C39" s="167">
        <f>IF(ISERROR(B39/SUM($B$32,$B$34,$B$35,$B$36,$B$38,$B$39)*100),0,B39/SUM($B$32,$B$34,$B$35,$B$36,$B$38,$B$39)*100)</f>
        <v>5.8355624384063072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5010</v>
      </c>
      <c r="C44" s="34" t="s">
        <v>110</v>
      </c>
      <c r="D44" s="174"/>
    </row>
    <row r="45" spans="1:7">
      <c r="A45" s="171" t="s">
        <v>71</v>
      </c>
      <c r="B45" s="33" t="str">
        <f t="shared" si="0"/>
        <v>-</v>
      </c>
      <c r="C45" s="34" t="s">
        <v>110</v>
      </c>
      <c r="D45" s="174"/>
    </row>
    <row r="46" spans="1:7">
      <c r="A46" s="171" t="s">
        <v>72</v>
      </c>
      <c r="B46" s="33">
        <f t="shared" si="0"/>
        <v>294.09615384615381</v>
      </c>
      <c r="C46" s="34" t="s">
        <v>110</v>
      </c>
      <c r="D46" s="174"/>
    </row>
    <row r="47" spans="1:7">
      <c r="A47" s="171" t="s">
        <v>73</v>
      </c>
      <c r="B47" s="33">
        <f t="shared" si="0"/>
        <v>1104.6538461538462</v>
      </c>
      <c r="C47" s="34" t="s">
        <v>110</v>
      </c>
      <c r="D47" s="174"/>
    </row>
    <row r="48" spans="1:7">
      <c r="A48" s="171" t="s">
        <v>74</v>
      </c>
      <c r="B48" s="33">
        <f t="shared" si="0"/>
        <v>279.74999999999994</v>
      </c>
      <c r="C48" s="33">
        <f>B48*10</f>
        <v>2797.4999999999995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14135.962747</v>
      </c>
      <c r="C5" s="17">
        <f>IF(ISERROR('Eigen informatie GS &amp; warmtenet'!B60),0,'Eigen informatie GS &amp; warmtenet'!B60)</f>
        <v>0</v>
      </c>
      <c r="D5" s="30">
        <f>SUM(D6:D12)</f>
        <v>15912.702867684002</v>
      </c>
      <c r="E5" s="17">
        <f>SUM(E6:E12)</f>
        <v>48.027747932113826</v>
      </c>
      <c r="F5" s="17">
        <f>SUM(F6:F12)</f>
        <v>2455.1118956164851</v>
      </c>
      <c r="G5" s="18"/>
      <c r="H5" s="17"/>
      <c r="I5" s="17"/>
      <c r="J5" s="17">
        <f>SUM(J6:J12)</f>
        <v>2.1597199424007459E-2</v>
      </c>
      <c r="K5" s="17"/>
      <c r="L5" s="17"/>
      <c r="M5" s="17"/>
      <c r="N5" s="17">
        <f>SUM(N6:N12)</f>
        <v>797.11176174201933</v>
      </c>
      <c r="O5" s="17">
        <f>B38*B39*B40</f>
        <v>0</v>
      </c>
      <c r="P5" s="17">
        <f>B46*B47*B48/1000-B46*B47*B48/1000/B49</f>
        <v>52.539138306495019</v>
      </c>
      <c r="R5" s="32"/>
    </row>
    <row r="6" spans="1:18">
      <c r="A6" s="32" t="s">
        <v>53</v>
      </c>
      <c r="B6" s="37">
        <f>B26</f>
        <v>3061.4505839999997</v>
      </c>
      <c r="C6" s="33"/>
      <c r="D6" s="37">
        <f>IF(ISERROR(TER_kantoor_gas_kWh/1000),0,TER_kantoor_gas_kWh/1000)*0.903</f>
        <v>4013.2864229850002</v>
      </c>
      <c r="E6" s="33">
        <f>$C$26*'E Balans VL '!I12/100/3.6*1000000</f>
        <v>0.73345079041231953</v>
      </c>
      <c r="F6" s="33">
        <f>$C$26*('E Balans VL '!L12+'E Balans VL '!N12)/100/3.6*1000000</f>
        <v>290.31376311095079</v>
      </c>
      <c r="G6" s="34"/>
      <c r="H6" s="33"/>
      <c r="I6" s="33"/>
      <c r="J6" s="33">
        <f>$C$26*('E Balans VL '!D12+'E Balans VL '!E12)/100/3.6*1000000</f>
        <v>0</v>
      </c>
      <c r="K6" s="33"/>
      <c r="L6" s="33"/>
      <c r="M6" s="33"/>
      <c r="N6" s="33">
        <f>$C$26*'E Balans VL '!Y12/100/3.6*1000000</f>
        <v>1.5550585471332083</v>
      </c>
      <c r="O6" s="33"/>
      <c r="P6" s="33"/>
      <c r="R6" s="32"/>
    </row>
    <row r="7" spans="1:18">
      <c r="A7" s="32" t="s">
        <v>52</v>
      </c>
      <c r="B7" s="37">
        <f t="shared" ref="B7:B12" si="0">B27</f>
        <v>1954.6359499999999</v>
      </c>
      <c r="C7" s="33"/>
      <c r="D7" s="37">
        <f>IF(ISERROR(TER_horeca_gas_kWh/1000),0,TER_horeca_gas_kWh/1000)*0.903</f>
        <v>3609.2331195059996</v>
      </c>
      <c r="E7" s="33">
        <f>$C$27*'E Balans VL '!I9/100/3.6*1000000</f>
        <v>0</v>
      </c>
      <c r="F7" s="33">
        <f>$C$27*('E Balans VL '!L9+'E Balans VL '!N9)/100/3.6*1000000</f>
        <v>160.27555315819012</v>
      </c>
      <c r="G7" s="34"/>
      <c r="H7" s="33"/>
      <c r="I7" s="33"/>
      <c r="J7" s="33">
        <f>$C$27*('E Balans VL '!D9+'E Balans VL '!E9)/100/3.6*1000000</f>
        <v>0</v>
      </c>
      <c r="K7" s="33"/>
      <c r="L7" s="33"/>
      <c r="M7" s="33"/>
      <c r="N7" s="33">
        <f>$C$27*'E Balans VL '!Y9/100/3.6*1000000</f>
        <v>0.59917445018846605</v>
      </c>
      <c r="O7" s="33"/>
      <c r="P7" s="33"/>
      <c r="R7" s="32"/>
    </row>
    <row r="8" spans="1:18">
      <c r="A8" s="6" t="s">
        <v>51</v>
      </c>
      <c r="B8" s="37">
        <f t="shared" si="0"/>
        <v>4545.058884</v>
      </c>
      <c r="C8" s="33"/>
      <c r="D8" s="37">
        <f>IF(ISERROR(TER_handel_gas_kWh/1000),0,TER_handel_gas_kWh/1000)*0.903</f>
        <v>3397.1680682520005</v>
      </c>
      <c r="E8" s="33">
        <f>$C$28*'E Balans VL '!I13/100/3.6*1000000</f>
        <v>15.973397861226614</v>
      </c>
      <c r="F8" s="33">
        <f>$C$28*('E Balans VL '!L13+'E Balans VL '!N13)/100/3.6*1000000</f>
        <v>415.86472572198949</v>
      </c>
      <c r="G8" s="34"/>
      <c r="H8" s="33"/>
      <c r="I8" s="33"/>
      <c r="J8" s="33">
        <f>$C$28*('E Balans VL '!D13+'E Balans VL '!E13)/100/3.6*1000000</f>
        <v>0</v>
      </c>
      <c r="K8" s="33"/>
      <c r="L8" s="33"/>
      <c r="M8" s="33"/>
      <c r="N8" s="33">
        <f>$C$28*'E Balans VL '!Y13/100/3.6*1000000</f>
        <v>1.6460246556768867</v>
      </c>
      <c r="O8" s="33"/>
      <c r="P8" s="33"/>
      <c r="R8" s="32"/>
    </row>
    <row r="9" spans="1:18">
      <c r="A9" s="32" t="s">
        <v>50</v>
      </c>
      <c r="B9" s="37">
        <f t="shared" si="0"/>
        <v>1332.898244</v>
      </c>
      <c r="C9" s="33"/>
      <c r="D9" s="37">
        <f>IF(ISERROR(TER_gezond_gas_kWh/1000),0,TER_gezond_gas_kWh/1000)*0.903</f>
        <v>1725.4024252710001</v>
      </c>
      <c r="E9" s="33">
        <f>$C$29*'E Balans VL '!I10/100/3.6*1000000</f>
        <v>0</v>
      </c>
      <c r="F9" s="33">
        <f>$C$29*('E Balans VL '!L10+'E Balans VL '!N10)/100/3.6*1000000</f>
        <v>163.38884877288325</v>
      </c>
      <c r="G9" s="34"/>
      <c r="H9" s="33"/>
      <c r="I9" s="33"/>
      <c r="J9" s="33">
        <f>$C$29*('E Balans VL '!D10+'E Balans VL '!E10)/100/3.6*1000000</f>
        <v>0</v>
      </c>
      <c r="K9" s="33"/>
      <c r="L9" s="33"/>
      <c r="M9" s="33"/>
      <c r="N9" s="33">
        <f>$C$29*'E Balans VL '!Y10/100/3.6*1000000</f>
        <v>9.8291957129136698</v>
      </c>
      <c r="O9" s="33"/>
      <c r="P9" s="33"/>
      <c r="R9" s="32"/>
    </row>
    <row r="10" spans="1:18">
      <c r="A10" s="32" t="s">
        <v>49</v>
      </c>
      <c r="B10" s="37">
        <f t="shared" si="0"/>
        <v>2186.8765520000002</v>
      </c>
      <c r="C10" s="33"/>
      <c r="D10" s="37">
        <f>IF(ISERROR(TER_ander_gas_kWh/1000),0,TER_ander_gas_kWh/1000)*0.903</f>
        <v>1111.3286440410002</v>
      </c>
      <c r="E10" s="33">
        <f>$C$30*'E Balans VL '!I14/100/3.6*1000000</f>
        <v>31.320899280474894</v>
      </c>
      <c r="F10" s="33">
        <f>$C$30*('E Balans VL '!L14+'E Balans VL '!N14)/100/3.6*1000000</f>
        <v>1301.9219688627788</v>
      </c>
      <c r="G10" s="34"/>
      <c r="H10" s="33"/>
      <c r="I10" s="33"/>
      <c r="J10" s="33">
        <f>$C$30*('E Balans VL '!D14+'E Balans VL '!E14)/100/3.6*1000000</f>
        <v>2.1597199424007459E-2</v>
      </c>
      <c r="K10" s="33"/>
      <c r="L10" s="33"/>
      <c r="M10" s="33"/>
      <c r="N10" s="33">
        <f>$C$30*'E Balans VL '!Y14/100/3.6*1000000</f>
        <v>780.51142975499749</v>
      </c>
      <c r="O10" s="33"/>
      <c r="P10" s="33"/>
      <c r="R10" s="32"/>
    </row>
    <row r="11" spans="1:18">
      <c r="A11" s="32" t="s">
        <v>54</v>
      </c>
      <c r="B11" s="37">
        <f t="shared" si="0"/>
        <v>1055.042533</v>
      </c>
      <c r="C11" s="33"/>
      <c r="D11" s="37">
        <f>IF(ISERROR(TER_onderwijs_gas_kWh/1000),0,TER_onderwijs_gas_kWh/1000)*0.903</f>
        <v>2056.2841876290004</v>
      </c>
      <c r="E11" s="33">
        <f>$C$31*'E Balans VL '!I11/100/3.6*1000000</f>
        <v>0</v>
      </c>
      <c r="F11" s="33">
        <f>$C$31*('E Balans VL '!L11+'E Balans VL '!N11)/100/3.6*1000000</f>
        <v>123.34703598969223</v>
      </c>
      <c r="G11" s="34"/>
      <c r="H11" s="33"/>
      <c r="I11" s="33"/>
      <c r="J11" s="33">
        <f>$C$31*('E Balans VL '!D11+'E Balans VL '!E11)/100/3.6*1000000</f>
        <v>0</v>
      </c>
      <c r="K11" s="33"/>
      <c r="L11" s="33"/>
      <c r="M11" s="33"/>
      <c r="N11" s="33">
        <f>$C$31*'E Balans VL '!Y11/100/3.6*1000000</f>
        <v>2.9708786211096432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17</v>
      </c>
      <c r="C13" s="247">
        <f ca="1">'lokale energieproductie'!O39+'lokale energieproductie'!O32</f>
        <v>24.351351351351351</v>
      </c>
      <c r="D13" s="310">
        <f ca="1">('lokale energieproductie'!P32+'lokale energieproductie'!P39)*(-1)</f>
        <v>-45.945945945945944</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14152.962747</v>
      </c>
      <c r="C16" s="21">
        <f t="shared" ca="1" si="1"/>
        <v>24.351351351351351</v>
      </c>
      <c r="D16" s="21">
        <f t="shared" ca="1" si="1"/>
        <v>15866.756921738055</v>
      </c>
      <c r="E16" s="21">
        <f t="shared" si="1"/>
        <v>48.027747932113826</v>
      </c>
      <c r="F16" s="21">
        <f t="shared" ca="1" si="1"/>
        <v>2455.1118956164851</v>
      </c>
      <c r="G16" s="21">
        <f t="shared" si="1"/>
        <v>0</v>
      </c>
      <c r="H16" s="21">
        <f t="shared" si="1"/>
        <v>0</v>
      </c>
      <c r="I16" s="21">
        <f t="shared" si="1"/>
        <v>0</v>
      </c>
      <c r="J16" s="21">
        <f t="shared" si="1"/>
        <v>2.1597199424007459E-2</v>
      </c>
      <c r="K16" s="21">
        <f t="shared" si="1"/>
        <v>0</v>
      </c>
      <c r="L16" s="21">
        <f t="shared" ca="1" si="1"/>
        <v>0</v>
      </c>
      <c r="M16" s="21">
        <f t="shared" si="1"/>
        <v>0</v>
      </c>
      <c r="N16" s="21">
        <f t="shared" ca="1" si="1"/>
        <v>797.11176174201933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0.18280841566061531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2587.2806966827798</v>
      </c>
      <c r="C20" s="23">
        <f t="shared" ref="C20:P20" ca="1" si="2">C16*C18</f>
        <v>5.4655255255255248</v>
      </c>
      <c r="D20" s="23">
        <f t="shared" ca="1" si="2"/>
        <v>3205.0848981910872</v>
      </c>
      <c r="E20" s="23">
        <f t="shared" si="2"/>
        <v>10.902298780589838</v>
      </c>
      <c r="F20" s="23">
        <f t="shared" ca="1" si="2"/>
        <v>655.51487612960159</v>
      </c>
      <c r="G20" s="23">
        <f t="shared" si="2"/>
        <v>0</v>
      </c>
      <c r="H20" s="23">
        <f t="shared" si="2"/>
        <v>0</v>
      </c>
      <c r="I20" s="23">
        <f t="shared" si="2"/>
        <v>0</v>
      </c>
      <c r="J20" s="23">
        <f t="shared" si="2"/>
        <v>7.6454085960986403E-3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3061.4505839999997</v>
      </c>
      <c r="C26" s="39">
        <f>IF(ISERROR(B26*3.6/1000000/'E Balans VL '!Z12*100),0,B26*3.6/1000000/'E Balans VL '!Z12*100)</f>
        <v>8.6341013600411937E-2</v>
      </c>
      <c r="D26" s="237" t="s">
        <v>702</v>
      </c>
      <c r="F26" s="6"/>
    </row>
    <row r="27" spans="1:18">
      <c r="A27" s="231" t="s">
        <v>52</v>
      </c>
      <c r="B27" s="33">
        <f>IF(ISERROR(TER_horeca_ele_kWh/1000),0,TER_horeca_ele_kWh/1000)</f>
        <v>1954.6359499999999</v>
      </c>
      <c r="C27" s="39">
        <f>IF(ISERROR(B27*3.6/1000000/'E Balans VL '!Z9*100),0,B27*3.6/1000000/'E Balans VL '!Z9*100)</f>
        <v>0.14491224362075147</v>
      </c>
      <c r="D27" s="237" t="s">
        <v>702</v>
      </c>
      <c r="F27" s="6"/>
    </row>
    <row r="28" spans="1:18">
      <c r="A28" s="171" t="s">
        <v>51</v>
      </c>
      <c r="B28" s="33">
        <f>IF(ISERROR(TER_handel_ele_kWh/1000),0,TER_handel_ele_kWh/1000)</f>
        <v>4545.058884</v>
      </c>
      <c r="C28" s="39">
        <f>IF(ISERROR(B28*3.6/1000000/'E Balans VL '!Z13*100),0,B28*3.6/1000000/'E Balans VL '!Z13*100)</f>
        <v>0.13615915788368216</v>
      </c>
      <c r="D28" s="237" t="s">
        <v>702</v>
      </c>
      <c r="F28" s="6"/>
    </row>
    <row r="29" spans="1:18">
      <c r="A29" s="231" t="s">
        <v>50</v>
      </c>
      <c r="B29" s="33">
        <f>IF(ISERROR(TER_gezond_ele_kWh/1000),0,TER_gezond_ele_kWh/1000)</f>
        <v>1332.898244</v>
      </c>
      <c r="C29" s="39">
        <f>IF(ISERROR(B29*3.6/1000000/'E Balans VL '!Z10*100),0,B29*3.6/1000000/'E Balans VL '!Z10*100)</f>
        <v>0.13179750079367009</v>
      </c>
      <c r="D29" s="237" t="s">
        <v>702</v>
      </c>
      <c r="F29" s="6"/>
    </row>
    <row r="30" spans="1:18">
      <c r="A30" s="231" t="s">
        <v>49</v>
      </c>
      <c r="B30" s="33">
        <f>IF(ISERROR(TER_ander_ele_kWh/1000),0,TER_ander_ele_kWh/1000)</f>
        <v>2186.8765520000002</v>
      </c>
      <c r="C30" s="39">
        <f>IF(ISERROR(B30*3.6/1000000/'E Balans VL '!Z14*100),0,B30*3.6/1000000/'E Balans VL '!Z14*100)</f>
        <v>8.8452693886719946E-2</v>
      </c>
      <c r="D30" s="237" t="s">
        <v>702</v>
      </c>
      <c r="F30" s="6"/>
    </row>
    <row r="31" spans="1:18">
      <c r="A31" s="231" t="s">
        <v>54</v>
      </c>
      <c r="B31" s="33">
        <f>IF(ISERROR(TER_onderwijs_ele_kWh/1000),0,TER_onderwijs_ele_kWh/1000)</f>
        <v>1055.042533</v>
      </c>
      <c r="C31" s="39">
        <f>IF(ISERROR(B31*3.6/1000000/'E Balans VL '!Z11*100),0,B31*3.6/1000000/'E Balans VL '!Z11*100)</f>
        <v>0.2898663257162859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1806.5428319999999</v>
      </c>
      <c r="C5" s="17">
        <f>IF(ISERROR('Eigen informatie GS &amp; warmtenet'!B61),0,'Eigen informatie GS &amp; warmtenet'!B61)</f>
        <v>0</v>
      </c>
      <c r="D5" s="30">
        <f>SUM(D6:D15)</f>
        <v>1726.268187357</v>
      </c>
      <c r="E5" s="17">
        <f>SUM(E6:E15)</f>
        <v>6.0633396781482878</v>
      </c>
      <c r="F5" s="17">
        <f>SUM(F6:F15)</f>
        <v>712.73282522872375</v>
      </c>
      <c r="G5" s="18"/>
      <c r="H5" s="17"/>
      <c r="I5" s="17"/>
      <c r="J5" s="17">
        <f>SUM(J6:J15)</f>
        <v>0.18128935265574839</v>
      </c>
      <c r="K5" s="17"/>
      <c r="L5" s="17"/>
      <c r="M5" s="17"/>
      <c r="N5" s="17">
        <f>SUM(N6:N15)</f>
        <v>105.5254933214715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203.242378</v>
      </c>
      <c r="C8" s="33"/>
      <c r="D8" s="37">
        <f>IF( ISERROR(IND_metaal_Gas_kWH/1000),0,IND_metaal_Gas_kWH/1000)*0.903</f>
        <v>264.81338268000002</v>
      </c>
      <c r="E8" s="33">
        <f>C30*'E Balans VL '!I18/100/3.6*1000000</f>
        <v>1.0247835314690892</v>
      </c>
      <c r="F8" s="33">
        <f>C30*'E Balans VL '!L18/100/3.6*1000000+C30*'E Balans VL '!N18/100/3.6*1000000</f>
        <v>13.885934580806101</v>
      </c>
      <c r="G8" s="34"/>
      <c r="H8" s="33"/>
      <c r="I8" s="33"/>
      <c r="J8" s="40">
        <f>C30*'E Balans VL '!D18/100/3.6*1000000+C30*'E Balans VL '!E18/100/3.6*1000000</f>
        <v>0.18019170489518432</v>
      </c>
      <c r="K8" s="33"/>
      <c r="L8" s="33"/>
      <c r="M8" s="33"/>
      <c r="N8" s="33">
        <f>C30*'E Balans VL '!Y18/100/3.6*1000000</f>
        <v>2.7010924097674391</v>
      </c>
      <c r="O8" s="33"/>
      <c r="P8" s="33"/>
      <c r="R8" s="32"/>
    </row>
    <row r="9" spans="1:18">
      <c r="A9" s="6" t="s">
        <v>32</v>
      </c>
      <c r="B9" s="37">
        <f t="shared" si="0"/>
        <v>1118.9765540000001</v>
      </c>
      <c r="C9" s="33"/>
      <c r="D9" s="37">
        <f>IF( ISERROR(IND_andere_gas_kWh/1000),0,IND_andere_gas_kWh/1000)*0.903</f>
        <v>1172.46157518</v>
      </c>
      <c r="E9" s="33">
        <f>C31*'E Balans VL '!I19/100/3.6*1000000</f>
        <v>3.5272785608255735</v>
      </c>
      <c r="F9" s="33">
        <f>C31*'E Balans VL '!L19/100/3.6*1000000+C31*'E Balans VL '!N19/100/3.6*1000000</f>
        <v>684.99038364684577</v>
      </c>
      <c r="G9" s="34"/>
      <c r="H9" s="33"/>
      <c r="I9" s="33"/>
      <c r="J9" s="40">
        <f>C31*'E Balans VL '!D19/100/3.6*1000000+C31*'E Balans VL '!E19/100/3.6*1000000</f>
        <v>0</v>
      </c>
      <c r="K9" s="33"/>
      <c r="L9" s="33"/>
      <c r="M9" s="33"/>
      <c r="N9" s="33">
        <f>C31*'E Balans VL '!Y19/100/3.6*1000000</f>
        <v>46.920206278930813</v>
      </c>
      <c r="O9" s="33"/>
      <c r="P9" s="33"/>
      <c r="R9" s="32"/>
    </row>
    <row r="10" spans="1:18">
      <c r="A10" s="6" t="s">
        <v>40</v>
      </c>
      <c r="B10" s="37">
        <f t="shared" si="0"/>
        <v>105.88815</v>
      </c>
      <c r="C10" s="33"/>
      <c r="D10" s="37">
        <f>IF( ISERROR(IND_voed_gas_kWh/1000),0,IND_voed_gas_kWh/1000)*0.903</f>
        <v>63.540684018000007</v>
      </c>
      <c r="E10" s="33">
        <f>C32*'E Balans VL '!I20/100/3.6*1000000</f>
        <v>0.16875597313250593</v>
      </c>
      <c r="F10" s="33">
        <f>C32*'E Balans VL '!L20/100/3.6*1000000+C32*'E Balans VL '!N20/100/3.6*1000000</f>
        <v>1.7204252060254024</v>
      </c>
      <c r="G10" s="34"/>
      <c r="H10" s="33"/>
      <c r="I10" s="33"/>
      <c r="J10" s="40">
        <f>C32*'E Balans VL '!D20/100/3.6*1000000+C32*'E Balans VL '!E20/100/3.6*1000000</f>
        <v>0</v>
      </c>
      <c r="K10" s="33"/>
      <c r="L10" s="33"/>
      <c r="M10" s="33"/>
      <c r="N10" s="33">
        <f>C32*'E Balans VL '!Y20/100/3.6*1000000</f>
        <v>3.3444766218031661</v>
      </c>
      <c r="O10" s="33"/>
      <c r="P10" s="33"/>
      <c r="R10" s="32"/>
    </row>
    <row r="11" spans="1:18">
      <c r="A11" s="6" t="s">
        <v>39</v>
      </c>
      <c r="B11" s="37">
        <f t="shared" si="0"/>
        <v>42.654944999999998</v>
      </c>
      <c r="C11" s="33"/>
      <c r="D11" s="37">
        <f>IF( ISERROR(IND_textiel_gas_kWh/1000),0,IND_textiel_gas_kWh/1000)*0.903</f>
        <v>70.387493694</v>
      </c>
      <c r="E11" s="33">
        <f>C33*'E Balans VL '!I21/100/3.6*1000000</f>
        <v>6.1884530914772438E-2</v>
      </c>
      <c r="F11" s="33">
        <f>C33*'E Balans VL '!L21/100/3.6*1000000+C33*'E Balans VL '!N21/100/3.6*1000000</f>
        <v>0.83478468018419327</v>
      </c>
      <c r="G11" s="34"/>
      <c r="H11" s="33"/>
      <c r="I11" s="33"/>
      <c r="J11" s="40">
        <f>C33*'E Balans VL '!D21/100/3.6*1000000+C33*'E Balans VL '!E21/100/3.6*1000000</f>
        <v>0</v>
      </c>
      <c r="K11" s="33"/>
      <c r="L11" s="33"/>
      <c r="M11" s="33"/>
      <c r="N11" s="33">
        <f>C33*'E Balans VL '!Y21/100/3.6*1000000</f>
        <v>2.0780521131659389</v>
      </c>
      <c r="O11" s="33"/>
      <c r="P11" s="33"/>
      <c r="R11" s="32"/>
    </row>
    <row r="12" spans="1:18">
      <c r="A12" s="6" t="s">
        <v>36</v>
      </c>
      <c r="B12" s="37">
        <f t="shared" si="0"/>
        <v>295.94567700000005</v>
      </c>
      <c r="C12" s="33"/>
      <c r="D12" s="37">
        <f>IF( ISERROR(IND_min_gas_kWh/1000),0,IND_min_gas_kWh/1000)*0.903</f>
        <v>0</v>
      </c>
      <c r="E12" s="33">
        <f>C34*'E Balans VL '!I22/100/3.6*1000000</f>
        <v>1.2806370818063464</v>
      </c>
      <c r="F12" s="33">
        <f>C34*'E Balans VL '!L22/100/3.6*1000000+C34*'E Balans VL '!N22/100/3.6*1000000</f>
        <v>11.299571271888817</v>
      </c>
      <c r="G12" s="34"/>
      <c r="H12" s="33"/>
      <c r="I12" s="33"/>
      <c r="J12" s="40">
        <f>C34*'E Balans VL '!D22/100/3.6*1000000+C34*'E Balans VL '!E22/100/3.6*1000000</f>
        <v>0</v>
      </c>
      <c r="K12" s="33"/>
      <c r="L12" s="33"/>
      <c r="M12" s="33"/>
      <c r="N12" s="33">
        <f>C34*'E Balans VL '!Y22/100/3.6*1000000</f>
        <v>50.481665897804142</v>
      </c>
      <c r="O12" s="33"/>
      <c r="P12" s="33"/>
      <c r="R12" s="32"/>
    </row>
    <row r="13" spans="1:18">
      <c r="A13" s="6" t="s">
        <v>38</v>
      </c>
      <c r="B13" s="37">
        <f t="shared" si="0"/>
        <v>39.835127999999997</v>
      </c>
      <c r="C13" s="33"/>
      <c r="D13" s="37">
        <f>IF( ISERROR(IND_papier_gas_kWh/1000),0,IND_papier_gas_kWh/1000)*0.903</f>
        <v>0</v>
      </c>
      <c r="E13" s="33">
        <f>C35*'E Balans VL '!I23/100/3.6*1000000</f>
        <v>0</v>
      </c>
      <c r="F13" s="33">
        <f>C35*'E Balans VL '!L23/100/3.6*1000000+C35*'E Balans VL '!N23/100/3.6*1000000</f>
        <v>1.7258429735194189E-3</v>
      </c>
      <c r="G13" s="34"/>
      <c r="H13" s="33"/>
      <c r="I13" s="33"/>
      <c r="J13" s="40">
        <f>C35*'E Balans VL '!D23/100/3.6*1000000+C35*'E Balans VL '!E23/100/3.6*1000000</f>
        <v>1.0976477605640696E-3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155.06505178500001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1806.5428319999999</v>
      </c>
      <c r="C18" s="21">
        <f>C5+C16</f>
        <v>0</v>
      </c>
      <c r="D18" s="21">
        <f>MAX((D5+D16),0)</f>
        <v>1726.268187357</v>
      </c>
      <c r="E18" s="21">
        <f>MAX((E5+E16),0)</f>
        <v>6.0633396781482878</v>
      </c>
      <c r="F18" s="21">
        <f>MAX((F5+F16),0)</f>
        <v>712.73282522872375</v>
      </c>
      <c r="G18" s="21"/>
      <c r="H18" s="21"/>
      <c r="I18" s="21"/>
      <c r="J18" s="21">
        <f>MAX((J5+J16),0)</f>
        <v>0.18128935265574839</v>
      </c>
      <c r="K18" s="21"/>
      <c r="L18" s="21">
        <f>MAX((L5+L16),0)</f>
        <v>0</v>
      </c>
      <c r="M18" s="21"/>
      <c r="N18" s="21">
        <f>MAX((N5+N16),0)</f>
        <v>105.5254933214715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0.18280841566061531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330.25123294096113</v>
      </c>
      <c r="C22" s="23">
        <f ca="1">C18*C20</f>
        <v>0</v>
      </c>
      <c r="D22" s="23">
        <f>D18*D20</f>
        <v>348.70617384611404</v>
      </c>
      <c r="E22" s="23">
        <f>E18*E20</f>
        <v>1.3763781069396614</v>
      </c>
      <c r="F22" s="23">
        <f>F18*F20</f>
        <v>190.29966433606924</v>
      </c>
      <c r="G22" s="23"/>
      <c r="H22" s="23"/>
      <c r="I22" s="23"/>
      <c r="J22" s="23">
        <f>J18*J20</f>
        <v>6.4176430840134926E-2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203.242378</v>
      </c>
      <c r="C30" s="39">
        <f>IF(ISERROR(B30*3.6/1000000/'E Balans VL '!Z18*100),0,B30*3.6/1000000/'E Balans VL '!Z18*100)</f>
        <v>1.0088493586666589E-2</v>
      </c>
      <c r="D30" s="237" t="s">
        <v>702</v>
      </c>
    </row>
    <row r="31" spans="1:18">
      <c r="A31" s="6" t="s">
        <v>32</v>
      </c>
      <c r="B31" s="37">
        <f>IF( ISERROR(IND_ander_ele_kWh/1000),0,IND_ander_ele_kWh/1000)</f>
        <v>1118.9765540000001</v>
      </c>
      <c r="C31" s="39">
        <f>IF(ISERROR(B31*3.6/1000000/'E Balans VL '!Z19*100),0,B31*3.6/1000000/'E Balans VL '!Z19*100)</f>
        <v>3.775972470684652E-2</v>
      </c>
      <c r="D31" s="237" t="s">
        <v>702</v>
      </c>
    </row>
    <row r="32" spans="1:18">
      <c r="A32" s="171" t="s">
        <v>40</v>
      </c>
      <c r="B32" s="37">
        <f>IF( ISERROR(IND_voed_ele_kWh/1000),0,IND_voed_ele_kWh/1000)</f>
        <v>105.88815</v>
      </c>
      <c r="C32" s="39">
        <f>IF(ISERROR(B32*3.6/1000000/'E Balans VL '!Z20*100),0,B32*3.6/1000000/'E Balans VL '!Z20*100)</f>
        <v>2.486710466092305E-3</v>
      </c>
      <c r="D32" s="237" t="s">
        <v>702</v>
      </c>
    </row>
    <row r="33" spans="1:5">
      <c r="A33" s="171" t="s">
        <v>39</v>
      </c>
      <c r="B33" s="37">
        <f>IF( ISERROR(IND_textiel_ele_kWh/1000),0,IND_textiel_ele_kWh/1000)</f>
        <v>42.654944999999998</v>
      </c>
      <c r="C33" s="39">
        <f>IF(ISERROR(B33*3.6/1000000/'E Balans VL '!Z21*100),0,B33*3.6/1000000/'E Balans VL '!Z21*100)</f>
        <v>4.6813261461059203E-3</v>
      </c>
      <c r="D33" s="237" t="s">
        <v>702</v>
      </c>
    </row>
    <row r="34" spans="1:5">
      <c r="A34" s="171" t="s">
        <v>36</v>
      </c>
      <c r="B34" s="37">
        <f>IF( ISERROR(IND_min_ele_kWh/1000),0,IND_min_ele_kWh/1000)</f>
        <v>295.94567700000005</v>
      </c>
      <c r="C34" s="39">
        <f>IF(ISERROR(B34*3.6/1000000/'E Balans VL '!Z22*100),0,B34*3.6/1000000/'E Balans VL '!Z22*100)</f>
        <v>4.1986037685277762E-2</v>
      </c>
      <c r="D34" s="237" t="s">
        <v>702</v>
      </c>
    </row>
    <row r="35" spans="1:5">
      <c r="A35" s="171" t="s">
        <v>38</v>
      </c>
      <c r="B35" s="37">
        <f>IF( ISERROR(IND_papier_ele_kWh/1000),0,IND_papier_ele_kWh/1000)</f>
        <v>39.835127999999997</v>
      </c>
      <c r="C35" s="39">
        <f>IF(ISERROR(B35*3.6/1000000/'E Balans VL '!Z22*100),0,B35*3.6/1000000/'E Balans VL '!Z22*100)</f>
        <v>5.651439826255219E-3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1520.3415319999999</v>
      </c>
      <c r="C5" s="17">
        <f>'Eigen informatie GS &amp; warmtenet'!B62</f>
        <v>0</v>
      </c>
      <c r="D5" s="30">
        <f>IF(ISERROR(SUM(LB_lb_gas_kWh,LB_rest_gas_kWh)/1000),0,SUM(LB_lb_gas_kWh,LB_rest_gas_kWh)/1000)*0.903</f>
        <v>157.311354585</v>
      </c>
      <c r="E5" s="17">
        <f>B17*'E Balans VL '!I25/3.6*1000000/100</f>
        <v>56.698186121286973</v>
      </c>
      <c r="F5" s="17">
        <f>B17*('E Balans VL '!L25/3.6*1000000+'E Balans VL '!N25/3.6*1000000)/100</f>
        <v>4932.5754129010984</v>
      </c>
      <c r="G5" s="18"/>
      <c r="H5" s="17"/>
      <c r="I5" s="17"/>
      <c r="J5" s="17">
        <f>('E Balans VL '!D25+'E Balans VL '!E25)/3.6*1000000*landbouw!B17/100</f>
        <v>399.09715793495474</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1520.3415319999999</v>
      </c>
      <c r="C8" s="21">
        <f>C5+C6</f>
        <v>0</v>
      </c>
      <c r="D8" s="21">
        <f>MAX((D5+D6),0)</f>
        <v>157.311354585</v>
      </c>
      <c r="E8" s="21">
        <f>MAX((E5+E6),0)</f>
        <v>56.698186121286973</v>
      </c>
      <c r="F8" s="21">
        <f>MAX((F5+F6),0)</f>
        <v>4932.5754129010984</v>
      </c>
      <c r="G8" s="21"/>
      <c r="H8" s="21"/>
      <c r="I8" s="21"/>
      <c r="J8" s="21">
        <f>MAX((J5+J6),0)</f>
        <v>399.09715793495474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0.18280841566061531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277.93122672795266</v>
      </c>
      <c r="C12" s="23">
        <f ca="1">C8*C10</f>
        <v>0</v>
      </c>
      <c r="D12" s="23">
        <f>D8*D10</f>
        <v>31.776893626170004</v>
      </c>
      <c r="E12" s="23">
        <f>E8*E10</f>
        <v>12.870488249532142</v>
      </c>
      <c r="F12" s="23">
        <f>F8*F10</f>
        <v>1316.9976352445933</v>
      </c>
      <c r="G12" s="23"/>
      <c r="H12" s="23"/>
      <c r="I12" s="23"/>
      <c r="J12" s="23">
        <f>J8*J10</f>
        <v>141.28039390897396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0.20881494206106774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429.42012358854834</v>
      </c>
      <c r="C26" s="247">
        <f>B26*'GWP N2O_CH4'!B5</f>
        <v>9017.8225953595156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153.9614317304756</v>
      </c>
      <c r="C27" s="247">
        <f>B27*'GWP N2O_CH4'!B5</f>
        <v>3233.1900663399874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6.33718860906591</v>
      </c>
      <c r="C28" s="247">
        <f>B28*'GWP N2O_CH4'!B4</f>
        <v>1964.5284688104321</v>
      </c>
      <c r="D28" s="50"/>
    </row>
    <row r="29" spans="1:4">
      <c r="A29" s="41" t="s">
        <v>276</v>
      </c>
      <c r="B29" s="247">
        <f>B34*'ha_N2O bodem landbouw'!B4</f>
        <v>11.313866707466859</v>
      </c>
      <c r="C29" s="247">
        <f>B29*'GWP N2O_CH4'!B4</f>
        <v>3507.2986793147265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2.5784625329066057E-3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1.503442848580613E-4</v>
      </c>
      <c r="C5" s="440" t="s">
        <v>210</v>
      </c>
      <c r="D5" s="425">
        <f>SUM(D6:D11)</f>
        <v>6.8594893359546095E-4</v>
      </c>
      <c r="E5" s="425">
        <f>SUM(E6:E11)</f>
        <v>3.6337303580798283E-4</v>
      </c>
      <c r="F5" s="438" t="s">
        <v>210</v>
      </c>
      <c r="G5" s="425">
        <f>SUM(G6:G11)</f>
        <v>0.14928733898369889</v>
      </c>
      <c r="H5" s="425">
        <f>SUM(H6:H11)</f>
        <v>4.3566497003609872E-2</v>
      </c>
      <c r="I5" s="440" t="s">
        <v>210</v>
      </c>
      <c r="J5" s="440" t="s">
        <v>210</v>
      </c>
      <c r="K5" s="440" t="s">
        <v>210</v>
      </c>
      <c r="L5" s="440" t="s">
        <v>210</v>
      </c>
      <c r="M5" s="425">
        <f>SUM(M6:M11)</f>
        <v>1.1433688719201644E-2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9.3399836124235147E-5</v>
      </c>
      <c r="C6" s="426"/>
      <c r="D6" s="893">
        <f>vkm_GW_PW*SUMIFS(TableVerdeelsleutelVkm[CNG],TableVerdeelsleutelVkm[Voertuigtype],"Lichte voertuigen")*SUMIFS(TableECFTransport[EnergieConsumptieFactor (PJ per km)],TableECFTransport[Index],CONCATENATE($A6,"_CNG_CNG"))</f>
        <v>3.3733170526451206E-4</v>
      </c>
      <c r="E6" s="893">
        <f>vkm_GW_PW*SUMIFS(TableVerdeelsleutelVkm[LPG],TableVerdeelsleutelVkm[Voertuigtype],"Lichte voertuigen")*SUMIFS(TableECFTransport[EnergieConsumptieFactor (PJ per km)],TableECFTransport[Index],CONCATENATE($A6,"_LPG_LPG"))</f>
        <v>1.8333112295228427E-4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5.7051515896946278E-2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2.1591708036231668E-2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4.7130757846093017E-3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3.5839952576631709E-2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3.773066437329431E-7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2.0178454675777269E-3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5.6944448733826141E-5</v>
      </c>
      <c r="C8" s="426"/>
      <c r="D8" s="428">
        <f>vkm_NGW_PW*SUMIFS(TableVerdeelsleutelVkm[CNG],TableVerdeelsleutelVkm[Voertuigtype],"Lichte voertuigen")*SUMIFS(TableECFTransport[EnergieConsumptieFactor (PJ per km)],TableECFTransport[Index],CONCATENATE($A8,"_CNG_CNG"))</f>
        <v>3.4861722833094883E-4</v>
      </c>
      <c r="E8" s="428">
        <f>vkm_NGW_PW*SUMIFS(TableVerdeelsleutelVkm[LPG],TableVerdeelsleutelVkm[Voertuigtype],"Lichte voertuigen")*SUMIFS(TableECFTransport[EnergieConsumptieFactor (PJ per km)],TableECFTransport[Index],CONCATENATE($A8,"_LPG_LPG"))</f>
        <v>1.8004191285569856E-4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5.2140182399131846E-2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2.197434658789928E-2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4.4631641513092893E-3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4.2556881109890692E-3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6.5072835189861496E-8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2.3960331570532439E-4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41.762301349461467</v>
      </c>
      <c r="C14" s="21"/>
      <c r="D14" s="21">
        <f t="shared" ref="D14:M14" si="0">((D5)*10^9/3600)+D12</f>
        <v>190.54137044318361</v>
      </c>
      <c r="E14" s="21">
        <f t="shared" si="0"/>
        <v>100.93695439110634</v>
      </c>
      <c r="F14" s="21"/>
      <c r="G14" s="21">
        <f t="shared" si="0"/>
        <v>41468.705273249696</v>
      </c>
      <c r="H14" s="21">
        <f t="shared" si="0"/>
        <v>12101.804723224965</v>
      </c>
      <c r="I14" s="21"/>
      <c r="J14" s="21"/>
      <c r="K14" s="21"/>
      <c r="L14" s="21"/>
      <c r="M14" s="21">
        <f t="shared" si="0"/>
        <v>3176.0246442226785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0.18280841566061531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7.6345001440362275</v>
      </c>
      <c r="C18" s="23"/>
      <c r="D18" s="23">
        <f t="shared" ref="D18:M18" si="1">D14*D16</f>
        <v>38.489356829523089</v>
      </c>
      <c r="E18" s="23">
        <f t="shared" si="1"/>
        <v>22.912688646781142</v>
      </c>
      <c r="F18" s="23"/>
      <c r="G18" s="23">
        <f t="shared" si="1"/>
        <v>11072.144307957669</v>
      </c>
      <c r="H18" s="23">
        <f t="shared" si="1"/>
        <v>3013.3493760830161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5.5399564992907272E-3</v>
      </c>
      <c r="H50" s="321">
        <f t="shared" si="2"/>
        <v>0</v>
      </c>
      <c r="I50" s="321">
        <f t="shared" si="2"/>
        <v>0</v>
      </c>
      <c r="J50" s="321">
        <f t="shared" si="2"/>
        <v>0</v>
      </c>
      <c r="K50" s="321">
        <f t="shared" si="2"/>
        <v>0</v>
      </c>
      <c r="L50" s="321">
        <f t="shared" si="2"/>
        <v>0</v>
      </c>
      <c r="M50" s="321">
        <f t="shared" si="2"/>
        <v>3.006295929632144E-4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5.5399564992907272E-3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3.006295929632144E-4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1538.8768053585352</v>
      </c>
      <c r="H54" s="21">
        <f t="shared" si="3"/>
        <v>0</v>
      </c>
      <c r="I54" s="21">
        <f t="shared" si="3"/>
        <v>0</v>
      </c>
      <c r="J54" s="21">
        <f t="shared" si="3"/>
        <v>0</v>
      </c>
      <c r="K54" s="21">
        <f t="shared" si="3"/>
        <v>0</v>
      </c>
      <c r="L54" s="21">
        <f t="shared" si="3"/>
        <v>0</v>
      </c>
      <c r="M54" s="21">
        <f t="shared" si="3"/>
        <v>83.508220267559551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0.18280841566061531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410.88010703072894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15382.639512</v>
      </c>
      <c r="D10" s="689">
        <f ca="1">tertiair!C16</f>
        <v>24.351351351351351</v>
      </c>
      <c r="E10" s="689">
        <f ca="1">tertiair!D16</f>
        <v>15866.756921738055</v>
      </c>
      <c r="F10" s="689">
        <f>tertiair!E16</f>
        <v>48.027747932113826</v>
      </c>
      <c r="G10" s="689">
        <f ca="1">tertiair!F16</f>
        <v>2455.1118956164851</v>
      </c>
      <c r="H10" s="689">
        <f>tertiair!G16</f>
        <v>0</v>
      </c>
      <c r="I10" s="689">
        <f>tertiair!H16</f>
        <v>0</v>
      </c>
      <c r="J10" s="689">
        <f>tertiair!I16</f>
        <v>0</v>
      </c>
      <c r="K10" s="689">
        <f>tertiair!J16</f>
        <v>2.1597199424007459E-2</v>
      </c>
      <c r="L10" s="689">
        <f>tertiair!K16</f>
        <v>0</v>
      </c>
      <c r="M10" s="689">
        <f ca="1">tertiair!L16</f>
        <v>0</v>
      </c>
      <c r="N10" s="689">
        <f>tertiair!M16</f>
        <v>0</v>
      </c>
      <c r="O10" s="689">
        <f ca="1">tertiair!N16</f>
        <v>797.11176174201933</v>
      </c>
      <c r="P10" s="689">
        <f>tertiair!O16</f>
        <v>0</v>
      </c>
      <c r="Q10" s="690">
        <f>tertiair!P16</f>
        <v>52.539138306495019</v>
      </c>
      <c r="R10" s="692">
        <f ca="1">SUM(C10:Q10)</f>
        <v>34626.559925885937</v>
      </c>
      <c r="S10" s="67"/>
    </row>
    <row r="11" spans="1:19" s="451" customFormat="1">
      <c r="A11" s="811" t="s">
        <v>224</v>
      </c>
      <c r="B11" s="816"/>
      <c r="C11" s="689">
        <f>huishoudens!B8</f>
        <v>31729.008683859756</v>
      </c>
      <c r="D11" s="689">
        <f>huishoudens!C8</f>
        <v>0</v>
      </c>
      <c r="E11" s="689">
        <f>huishoudens!D8</f>
        <v>70630.802212047012</v>
      </c>
      <c r="F11" s="689">
        <f>huishoudens!E8</f>
        <v>10575.964663850307</v>
      </c>
      <c r="G11" s="689">
        <f>huishoudens!F8</f>
        <v>8596.7772251062233</v>
      </c>
      <c r="H11" s="689">
        <f>huishoudens!G8</f>
        <v>0</v>
      </c>
      <c r="I11" s="689">
        <f>huishoudens!H8</f>
        <v>0</v>
      </c>
      <c r="J11" s="689">
        <f>huishoudens!I8</f>
        <v>0</v>
      </c>
      <c r="K11" s="689">
        <f>huishoudens!J8</f>
        <v>0</v>
      </c>
      <c r="L11" s="689">
        <f>huishoudens!K8</f>
        <v>0</v>
      </c>
      <c r="M11" s="689">
        <f>huishoudens!L8</f>
        <v>0</v>
      </c>
      <c r="N11" s="689">
        <f>huishoudens!M8</f>
        <v>0</v>
      </c>
      <c r="O11" s="689">
        <f>huishoudens!N8</f>
        <v>18856.08743437325</v>
      </c>
      <c r="P11" s="689">
        <f>huishoudens!O8</f>
        <v>686.44954390791293</v>
      </c>
      <c r="Q11" s="690">
        <f>huishoudens!P8</f>
        <v>895.38654115322686</v>
      </c>
      <c r="R11" s="692">
        <f>SUM(C11:Q11)</f>
        <v>141970.47630429768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1806.5428319999999</v>
      </c>
      <c r="D13" s="689">
        <f>industrie!C18</f>
        <v>0</v>
      </c>
      <c r="E13" s="689">
        <f>industrie!D18</f>
        <v>1726.268187357</v>
      </c>
      <c r="F13" s="689">
        <f>industrie!E18</f>
        <v>6.0633396781482878</v>
      </c>
      <c r="G13" s="689">
        <f>industrie!F18</f>
        <v>712.73282522872375</v>
      </c>
      <c r="H13" s="689">
        <f>industrie!G18</f>
        <v>0</v>
      </c>
      <c r="I13" s="689">
        <f>industrie!H18</f>
        <v>0</v>
      </c>
      <c r="J13" s="689">
        <f>industrie!I18</f>
        <v>0</v>
      </c>
      <c r="K13" s="689">
        <f>industrie!J18</f>
        <v>0.18128935265574839</v>
      </c>
      <c r="L13" s="689">
        <f>industrie!K18</f>
        <v>0</v>
      </c>
      <c r="M13" s="689">
        <f>industrie!L18</f>
        <v>0</v>
      </c>
      <c r="N13" s="689">
        <f>industrie!M18</f>
        <v>0</v>
      </c>
      <c r="O13" s="689">
        <f>industrie!N18</f>
        <v>105.5254933214715</v>
      </c>
      <c r="P13" s="689">
        <f>industrie!O18</f>
        <v>0</v>
      </c>
      <c r="Q13" s="690">
        <f>industrie!P18</f>
        <v>0</v>
      </c>
      <c r="R13" s="692">
        <f>SUM(C13:Q13)</f>
        <v>4357.3139669379998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48918.191027859757</v>
      </c>
      <c r="D16" s="725">
        <f t="shared" ref="D16:R16" ca="1" si="0">SUM(D9:D15)</f>
        <v>24.351351351351351</v>
      </c>
      <c r="E16" s="725">
        <f t="shared" ca="1" si="0"/>
        <v>88223.82732114206</v>
      </c>
      <c r="F16" s="725">
        <f t="shared" si="0"/>
        <v>10630.05575146057</v>
      </c>
      <c r="G16" s="725">
        <f t="shared" ca="1" si="0"/>
        <v>11764.621945951432</v>
      </c>
      <c r="H16" s="725">
        <f t="shared" si="0"/>
        <v>0</v>
      </c>
      <c r="I16" s="725">
        <f t="shared" si="0"/>
        <v>0</v>
      </c>
      <c r="J16" s="725">
        <f t="shared" si="0"/>
        <v>0</v>
      </c>
      <c r="K16" s="725">
        <f t="shared" si="0"/>
        <v>0.20288655207975584</v>
      </c>
      <c r="L16" s="725">
        <f t="shared" si="0"/>
        <v>0</v>
      </c>
      <c r="M16" s="725">
        <f t="shared" ca="1" si="0"/>
        <v>0</v>
      </c>
      <c r="N16" s="725">
        <f t="shared" si="0"/>
        <v>0</v>
      </c>
      <c r="O16" s="725">
        <f t="shared" ca="1" si="0"/>
        <v>19758.724689436742</v>
      </c>
      <c r="P16" s="725">
        <f t="shared" si="0"/>
        <v>686.44954390791293</v>
      </c>
      <c r="Q16" s="725">
        <f t="shared" si="0"/>
        <v>947.92567945972189</v>
      </c>
      <c r="R16" s="725">
        <f t="shared" ca="1" si="0"/>
        <v>180954.35019712162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1538.8768053585352</v>
      </c>
      <c r="I19" s="689">
        <f>transport!H54</f>
        <v>0</v>
      </c>
      <c r="J19" s="689">
        <f>transport!I54</f>
        <v>0</v>
      </c>
      <c r="K19" s="689">
        <f>transport!J54</f>
        <v>0</v>
      </c>
      <c r="L19" s="689">
        <f>transport!K54</f>
        <v>0</v>
      </c>
      <c r="M19" s="689">
        <f>transport!L54</f>
        <v>0</v>
      </c>
      <c r="N19" s="689">
        <f>transport!M54</f>
        <v>83.508220267559551</v>
      </c>
      <c r="O19" s="689">
        <f>transport!N54</f>
        <v>0</v>
      </c>
      <c r="P19" s="689">
        <f>transport!O54</f>
        <v>0</v>
      </c>
      <c r="Q19" s="690">
        <f>transport!P54</f>
        <v>0</v>
      </c>
      <c r="R19" s="692">
        <f>SUM(C19:Q19)</f>
        <v>1622.3850256260948</v>
      </c>
      <c r="S19" s="67"/>
    </row>
    <row r="20" spans="1:19" s="451" customFormat="1">
      <c r="A20" s="811" t="s">
        <v>306</v>
      </c>
      <c r="B20" s="816"/>
      <c r="C20" s="689">
        <f>transport!B14</f>
        <v>41.762301349461467</v>
      </c>
      <c r="D20" s="689">
        <f>transport!C14</f>
        <v>0</v>
      </c>
      <c r="E20" s="689">
        <f>transport!D14</f>
        <v>190.54137044318361</v>
      </c>
      <c r="F20" s="689">
        <f>transport!E14</f>
        <v>100.93695439110634</v>
      </c>
      <c r="G20" s="689">
        <f>transport!F14</f>
        <v>0</v>
      </c>
      <c r="H20" s="689">
        <f>transport!G14</f>
        <v>41468.705273249696</v>
      </c>
      <c r="I20" s="689">
        <f>transport!H14</f>
        <v>12101.804723224965</v>
      </c>
      <c r="J20" s="689">
        <f>transport!I14</f>
        <v>0</v>
      </c>
      <c r="K20" s="689">
        <f>transport!J14</f>
        <v>0</v>
      </c>
      <c r="L20" s="689">
        <f>transport!K14</f>
        <v>0</v>
      </c>
      <c r="M20" s="689">
        <f>transport!L14</f>
        <v>0</v>
      </c>
      <c r="N20" s="689">
        <f>transport!M14</f>
        <v>3176.0246442226785</v>
      </c>
      <c r="O20" s="689">
        <f>transport!N14</f>
        <v>0</v>
      </c>
      <c r="P20" s="689">
        <f>transport!O14</f>
        <v>0</v>
      </c>
      <c r="Q20" s="690">
        <f>transport!P14</f>
        <v>0</v>
      </c>
      <c r="R20" s="692">
        <f>SUM(C20:Q20)</f>
        <v>57079.775266881094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41.762301349461467</v>
      </c>
      <c r="D22" s="814">
        <f t="shared" ref="D22:R22" si="1">SUM(D18:D21)</f>
        <v>0</v>
      </c>
      <c r="E22" s="814">
        <f t="shared" si="1"/>
        <v>190.54137044318361</v>
      </c>
      <c r="F22" s="814">
        <f t="shared" si="1"/>
        <v>100.93695439110634</v>
      </c>
      <c r="G22" s="814">
        <f t="shared" si="1"/>
        <v>0</v>
      </c>
      <c r="H22" s="814">
        <f t="shared" si="1"/>
        <v>43007.582078608233</v>
      </c>
      <c r="I22" s="814">
        <f t="shared" si="1"/>
        <v>12101.804723224965</v>
      </c>
      <c r="J22" s="814">
        <f t="shared" si="1"/>
        <v>0</v>
      </c>
      <c r="K22" s="814">
        <f t="shared" si="1"/>
        <v>0</v>
      </c>
      <c r="L22" s="814">
        <f t="shared" si="1"/>
        <v>0</v>
      </c>
      <c r="M22" s="814">
        <f t="shared" si="1"/>
        <v>0</v>
      </c>
      <c r="N22" s="814">
        <f t="shared" si="1"/>
        <v>3259.5328644902379</v>
      </c>
      <c r="O22" s="814">
        <f t="shared" si="1"/>
        <v>0</v>
      </c>
      <c r="P22" s="814">
        <f t="shared" si="1"/>
        <v>0</v>
      </c>
      <c r="Q22" s="814">
        <f t="shared" si="1"/>
        <v>0</v>
      </c>
      <c r="R22" s="814">
        <f t="shared" si="1"/>
        <v>58702.160292507186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1520.3415319999999</v>
      </c>
      <c r="D24" s="689">
        <f>+landbouw!C8</f>
        <v>0</v>
      </c>
      <c r="E24" s="689">
        <f>+landbouw!D8</f>
        <v>157.311354585</v>
      </c>
      <c r="F24" s="689">
        <f>+landbouw!E8</f>
        <v>56.698186121286973</v>
      </c>
      <c r="G24" s="689">
        <f>+landbouw!F8</f>
        <v>4932.5754129010984</v>
      </c>
      <c r="H24" s="689">
        <f>+landbouw!G8</f>
        <v>0</v>
      </c>
      <c r="I24" s="689">
        <f>+landbouw!H8</f>
        <v>0</v>
      </c>
      <c r="J24" s="689">
        <f>+landbouw!I8</f>
        <v>0</v>
      </c>
      <c r="K24" s="689">
        <f>+landbouw!J8</f>
        <v>399.09715793495474</v>
      </c>
      <c r="L24" s="689">
        <f>+landbouw!K8</f>
        <v>0</v>
      </c>
      <c r="M24" s="689">
        <f>+landbouw!L8</f>
        <v>0</v>
      </c>
      <c r="N24" s="689">
        <f>+landbouw!M8</f>
        <v>0</v>
      </c>
      <c r="O24" s="689">
        <f>+landbouw!N8</f>
        <v>0</v>
      </c>
      <c r="P24" s="689">
        <f>+landbouw!O8</f>
        <v>0</v>
      </c>
      <c r="Q24" s="690">
        <f>+landbouw!P8</f>
        <v>0</v>
      </c>
      <c r="R24" s="692">
        <f>SUM(C24:Q24)</f>
        <v>7066.0236435423394</v>
      </c>
      <c r="S24" s="67"/>
    </row>
    <row r="25" spans="1:19" s="451" customFormat="1" ht="15" thickBot="1">
      <c r="A25" s="833" t="s">
        <v>714</v>
      </c>
      <c r="B25" s="947"/>
      <c r="C25" s="948">
        <f>IF(Onbekend_ele_kWh="---",0,Onbekend_ele_kWh)/1000+IF(REST_rest_ele_kWh="---",0,REST_rest_ele_kWh)/1000</f>
        <v>720.68770099999995</v>
      </c>
      <c r="D25" s="948"/>
      <c r="E25" s="948">
        <f>IF(onbekend_gas_kWh="---",0,onbekend_gas_kWh)/1000+IF(REST_rest_gas_kWh="---",0,REST_rest_gas_kWh)/1000</f>
        <v>5060.5545920000004</v>
      </c>
      <c r="F25" s="948"/>
      <c r="G25" s="948"/>
      <c r="H25" s="948"/>
      <c r="I25" s="948"/>
      <c r="J25" s="948"/>
      <c r="K25" s="948"/>
      <c r="L25" s="948"/>
      <c r="M25" s="948"/>
      <c r="N25" s="948"/>
      <c r="O25" s="948"/>
      <c r="P25" s="948"/>
      <c r="Q25" s="949"/>
      <c r="R25" s="692">
        <f>SUM(C25:Q25)</f>
        <v>5781.2422930000002</v>
      </c>
      <c r="S25" s="67"/>
    </row>
    <row r="26" spans="1:19" s="451" customFormat="1" ht="15.75" thickBot="1">
      <c r="A26" s="697" t="s">
        <v>715</v>
      </c>
      <c r="B26" s="819"/>
      <c r="C26" s="814">
        <f>SUM(C24:C25)</f>
        <v>2241.0292329999997</v>
      </c>
      <c r="D26" s="814">
        <f t="shared" ref="D26:R26" si="2">SUM(D24:D25)</f>
        <v>0</v>
      </c>
      <c r="E26" s="814">
        <f t="shared" si="2"/>
        <v>5217.8659465850005</v>
      </c>
      <c r="F26" s="814">
        <f t="shared" si="2"/>
        <v>56.698186121286973</v>
      </c>
      <c r="G26" s="814">
        <f t="shared" si="2"/>
        <v>4932.5754129010984</v>
      </c>
      <c r="H26" s="814">
        <f t="shared" si="2"/>
        <v>0</v>
      </c>
      <c r="I26" s="814">
        <f t="shared" si="2"/>
        <v>0</v>
      </c>
      <c r="J26" s="814">
        <f t="shared" si="2"/>
        <v>0</v>
      </c>
      <c r="K26" s="814">
        <f t="shared" si="2"/>
        <v>399.09715793495474</v>
      </c>
      <c r="L26" s="814">
        <f t="shared" si="2"/>
        <v>0</v>
      </c>
      <c r="M26" s="814">
        <f t="shared" si="2"/>
        <v>0</v>
      </c>
      <c r="N26" s="814">
        <f t="shared" si="2"/>
        <v>0</v>
      </c>
      <c r="O26" s="814">
        <f t="shared" si="2"/>
        <v>0</v>
      </c>
      <c r="P26" s="814">
        <f t="shared" si="2"/>
        <v>0</v>
      </c>
      <c r="Q26" s="814">
        <f t="shared" si="2"/>
        <v>0</v>
      </c>
      <c r="R26" s="814">
        <f t="shared" si="2"/>
        <v>12847.265936542339</v>
      </c>
      <c r="S26" s="67"/>
    </row>
    <row r="27" spans="1:19" s="451" customFormat="1" ht="17.25" thickTop="1" thickBot="1">
      <c r="A27" s="698" t="s">
        <v>115</v>
      </c>
      <c r="B27" s="806"/>
      <c r="C27" s="699">
        <f ca="1">C22+C16+C26</f>
        <v>51200.982562209218</v>
      </c>
      <c r="D27" s="699">
        <f t="shared" ref="D27:R27" ca="1" si="3">D22+D16+D26</f>
        <v>24.351351351351351</v>
      </c>
      <c r="E27" s="699">
        <f t="shared" ca="1" si="3"/>
        <v>93632.234638170252</v>
      </c>
      <c r="F27" s="699">
        <f t="shared" si="3"/>
        <v>10787.690891972963</v>
      </c>
      <c r="G27" s="699">
        <f t="shared" ca="1" si="3"/>
        <v>16697.197358852529</v>
      </c>
      <c r="H27" s="699">
        <f t="shared" si="3"/>
        <v>43007.582078608233</v>
      </c>
      <c r="I27" s="699">
        <f t="shared" si="3"/>
        <v>12101.804723224965</v>
      </c>
      <c r="J27" s="699">
        <f t="shared" si="3"/>
        <v>0</v>
      </c>
      <c r="K27" s="699">
        <f t="shared" si="3"/>
        <v>399.30004448703448</v>
      </c>
      <c r="L27" s="699">
        <f t="shared" si="3"/>
        <v>0</v>
      </c>
      <c r="M27" s="699">
        <f t="shared" ca="1" si="3"/>
        <v>0</v>
      </c>
      <c r="N27" s="699">
        <f t="shared" si="3"/>
        <v>3259.5328644902379</v>
      </c>
      <c r="O27" s="699">
        <f t="shared" ca="1" si="3"/>
        <v>19758.724689436742</v>
      </c>
      <c r="P27" s="699">
        <f t="shared" si="3"/>
        <v>686.44954390791293</v>
      </c>
      <c r="Q27" s="699">
        <f t="shared" si="3"/>
        <v>947.92567945972189</v>
      </c>
      <c r="R27" s="699">
        <f t="shared" ca="1" si="3"/>
        <v>252503.77642617113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2812.0759578671004</v>
      </c>
      <c r="D40" s="689">
        <f ca="1">tertiair!C20</f>
        <v>5.4655255255255248</v>
      </c>
      <c r="E40" s="689">
        <f ca="1">tertiair!D20</f>
        <v>3205.0848981910872</v>
      </c>
      <c r="F40" s="689">
        <f>tertiair!E20</f>
        <v>10.902298780589838</v>
      </c>
      <c r="G40" s="689">
        <f ca="1">tertiair!F20</f>
        <v>655.51487612960159</v>
      </c>
      <c r="H40" s="689">
        <f>tertiair!G20</f>
        <v>0</v>
      </c>
      <c r="I40" s="689">
        <f>tertiair!H20</f>
        <v>0</v>
      </c>
      <c r="J40" s="689">
        <f>tertiair!I20</f>
        <v>0</v>
      </c>
      <c r="K40" s="689">
        <f>tertiair!J20</f>
        <v>7.6454085960986403E-3</v>
      </c>
      <c r="L40" s="689">
        <f>tertiair!K20</f>
        <v>0</v>
      </c>
      <c r="M40" s="689">
        <f ca="1">tertiair!L20</f>
        <v>0</v>
      </c>
      <c r="N40" s="689">
        <f>tertiair!M20</f>
        <v>0</v>
      </c>
      <c r="O40" s="689">
        <f ca="1">tertiair!N20</f>
        <v>0</v>
      </c>
      <c r="P40" s="689">
        <f>tertiair!O20</f>
        <v>0</v>
      </c>
      <c r="Q40" s="772">
        <f>tertiair!P20</f>
        <v>0</v>
      </c>
      <c r="R40" s="852">
        <f t="shared" ca="1" si="4"/>
        <v>6689.0512019025018</v>
      </c>
    </row>
    <row r="41" spans="1:18">
      <c r="A41" s="824" t="s">
        <v>224</v>
      </c>
      <c r="B41" s="831"/>
      <c r="C41" s="689">
        <f ca="1">huishoudens!B12</f>
        <v>5800.3298079783071</v>
      </c>
      <c r="D41" s="689">
        <f ca="1">huishoudens!C12</f>
        <v>0</v>
      </c>
      <c r="E41" s="689">
        <f>huishoudens!D12</f>
        <v>14267.422046833497</v>
      </c>
      <c r="F41" s="689">
        <f>huishoudens!E12</f>
        <v>2400.7439786940199</v>
      </c>
      <c r="G41" s="689">
        <f>huishoudens!F12</f>
        <v>2295.3395191033619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24763.835352609185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330.25123294096113</v>
      </c>
      <c r="D43" s="689">
        <f ca="1">industrie!C22</f>
        <v>0</v>
      </c>
      <c r="E43" s="689">
        <f>industrie!D22</f>
        <v>348.70617384611404</v>
      </c>
      <c r="F43" s="689">
        <f>industrie!E22</f>
        <v>1.3763781069396614</v>
      </c>
      <c r="G43" s="689">
        <f>industrie!F22</f>
        <v>190.29966433606924</v>
      </c>
      <c r="H43" s="689">
        <f>industrie!G22</f>
        <v>0</v>
      </c>
      <c r="I43" s="689">
        <f>industrie!H22</f>
        <v>0</v>
      </c>
      <c r="J43" s="689">
        <f>industrie!I22</f>
        <v>0</v>
      </c>
      <c r="K43" s="689">
        <f>industrie!J22</f>
        <v>6.4176430840134926E-2</v>
      </c>
      <c r="L43" s="689">
        <f>industrie!K22</f>
        <v>0</v>
      </c>
      <c r="M43" s="689">
        <f>industrie!L22</f>
        <v>0</v>
      </c>
      <c r="N43" s="689">
        <f>industrie!M22</f>
        <v>0</v>
      </c>
      <c r="O43" s="689">
        <f>industrie!N22</f>
        <v>0</v>
      </c>
      <c r="P43" s="689">
        <f>industrie!O22</f>
        <v>0</v>
      </c>
      <c r="Q43" s="772">
        <f>industrie!P22</f>
        <v>0</v>
      </c>
      <c r="R43" s="851">
        <f t="shared" ca="1" si="4"/>
        <v>870.69762566092413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8942.6569987863695</v>
      </c>
      <c r="D46" s="725">
        <f t="shared" ref="D46:Q46" ca="1" si="5">SUM(D39:D45)</f>
        <v>5.4655255255255248</v>
      </c>
      <c r="E46" s="725">
        <f t="shared" ca="1" si="5"/>
        <v>17821.213118870695</v>
      </c>
      <c r="F46" s="725">
        <f t="shared" si="5"/>
        <v>2413.0226555815493</v>
      </c>
      <c r="G46" s="725">
        <f t="shared" ca="1" si="5"/>
        <v>3141.1540595690331</v>
      </c>
      <c r="H46" s="725">
        <f t="shared" si="5"/>
        <v>0</v>
      </c>
      <c r="I46" s="725">
        <f t="shared" si="5"/>
        <v>0</v>
      </c>
      <c r="J46" s="725">
        <f t="shared" si="5"/>
        <v>0</v>
      </c>
      <c r="K46" s="725">
        <f t="shared" si="5"/>
        <v>7.1821839436233562E-2</v>
      </c>
      <c r="L46" s="725">
        <f t="shared" si="5"/>
        <v>0</v>
      </c>
      <c r="M46" s="725">
        <f t="shared" ca="1" si="5"/>
        <v>0</v>
      </c>
      <c r="N46" s="725">
        <f t="shared" si="5"/>
        <v>0</v>
      </c>
      <c r="O46" s="725">
        <f t="shared" ca="1" si="5"/>
        <v>0</v>
      </c>
      <c r="P46" s="725">
        <f t="shared" si="5"/>
        <v>0</v>
      </c>
      <c r="Q46" s="725">
        <f t="shared" si="5"/>
        <v>0</v>
      </c>
      <c r="R46" s="725">
        <f ca="1">SUM(R39:R45)</f>
        <v>32323.584180172609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410.88010703072894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410.88010703072894</v>
      </c>
    </row>
    <row r="50" spans="1:18">
      <c r="A50" s="827" t="s">
        <v>306</v>
      </c>
      <c r="B50" s="837"/>
      <c r="C50" s="695">
        <f ca="1">transport!B18</f>
        <v>7.6345001440362275</v>
      </c>
      <c r="D50" s="695">
        <f>transport!C18</f>
        <v>0</v>
      </c>
      <c r="E50" s="695">
        <f>transport!D18</f>
        <v>38.489356829523089</v>
      </c>
      <c r="F50" s="695">
        <f>transport!E18</f>
        <v>22.912688646781142</v>
      </c>
      <c r="G50" s="695">
        <f>transport!F18</f>
        <v>0</v>
      </c>
      <c r="H50" s="695">
        <f>transport!G18</f>
        <v>11072.144307957669</v>
      </c>
      <c r="I50" s="695">
        <f>transport!H18</f>
        <v>3013.3493760830161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14154.530229661024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7.6345001440362275</v>
      </c>
      <c r="D52" s="725">
        <f t="shared" ref="D52:Q52" ca="1" si="6">SUM(D48:D51)</f>
        <v>0</v>
      </c>
      <c r="E52" s="725">
        <f t="shared" si="6"/>
        <v>38.489356829523089</v>
      </c>
      <c r="F52" s="725">
        <f t="shared" si="6"/>
        <v>22.912688646781142</v>
      </c>
      <c r="G52" s="725">
        <f t="shared" si="6"/>
        <v>0</v>
      </c>
      <c r="H52" s="725">
        <f t="shared" si="6"/>
        <v>11483.024414988398</v>
      </c>
      <c r="I52" s="725">
        <f t="shared" si="6"/>
        <v>3013.3493760830161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14565.410336691753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277.93122672795266</v>
      </c>
      <c r="D54" s="695">
        <f ca="1">+landbouw!C12</f>
        <v>0</v>
      </c>
      <c r="E54" s="695">
        <f>+landbouw!D12</f>
        <v>31.776893626170004</v>
      </c>
      <c r="F54" s="695">
        <f>+landbouw!E12</f>
        <v>12.870488249532142</v>
      </c>
      <c r="G54" s="695">
        <f>+landbouw!F12</f>
        <v>1316.9976352445933</v>
      </c>
      <c r="H54" s="695">
        <f>+landbouw!G12</f>
        <v>0</v>
      </c>
      <c r="I54" s="695">
        <f>+landbouw!H12</f>
        <v>0</v>
      </c>
      <c r="J54" s="695">
        <f>+landbouw!I12</f>
        <v>0</v>
      </c>
      <c r="K54" s="695">
        <f>+landbouw!J12</f>
        <v>141.28039390897396</v>
      </c>
      <c r="L54" s="695">
        <f>+landbouw!K12</f>
        <v>0</v>
      </c>
      <c r="M54" s="695">
        <f>+landbouw!L12</f>
        <v>0</v>
      </c>
      <c r="N54" s="695">
        <f>+landbouw!M12</f>
        <v>0</v>
      </c>
      <c r="O54" s="695">
        <f>+landbouw!N12</f>
        <v>0</v>
      </c>
      <c r="P54" s="695">
        <f>+landbouw!O12</f>
        <v>0</v>
      </c>
      <c r="Q54" s="696">
        <f>+landbouw!P12</f>
        <v>0</v>
      </c>
      <c r="R54" s="724">
        <f ca="1">SUM(C54:Q54)</f>
        <v>1780.8566377572222</v>
      </c>
    </row>
    <row r="55" spans="1:18" ht="15" thickBot="1">
      <c r="A55" s="827" t="s">
        <v>714</v>
      </c>
      <c r="B55" s="837"/>
      <c r="C55" s="695">
        <f ca="1">C25*'EF ele_warmte'!B12</f>
        <v>131.74777680590122</v>
      </c>
      <c r="D55" s="695"/>
      <c r="E55" s="695">
        <f>E25*EF_CO2_aardgas</f>
        <v>1022.2320275840001</v>
      </c>
      <c r="F55" s="695"/>
      <c r="G55" s="695"/>
      <c r="H55" s="695"/>
      <c r="I55" s="695"/>
      <c r="J55" s="695"/>
      <c r="K55" s="695"/>
      <c r="L55" s="695"/>
      <c r="M55" s="695"/>
      <c r="N55" s="695"/>
      <c r="O55" s="695"/>
      <c r="P55" s="695"/>
      <c r="Q55" s="696"/>
      <c r="R55" s="724">
        <f ca="1">SUM(C55:Q55)</f>
        <v>1153.9798043899013</v>
      </c>
    </row>
    <row r="56" spans="1:18" ht="15.75" thickBot="1">
      <c r="A56" s="825" t="s">
        <v>715</v>
      </c>
      <c r="B56" s="838"/>
      <c r="C56" s="725">
        <f ca="1">SUM(C54:C55)</f>
        <v>409.67900353385392</v>
      </c>
      <c r="D56" s="725">
        <f t="shared" ref="D56:Q56" ca="1" si="7">SUM(D54:D55)</f>
        <v>0</v>
      </c>
      <c r="E56" s="725">
        <f t="shared" si="7"/>
        <v>1054.00892121017</v>
      </c>
      <c r="F56" s="725">
        <f t="shared" si="7"/>
        <v>12.870488249532142</v>
      </c>
      <c r="G56" s="725">
        <f t="shared" si="7"/>
        <v>1316.9976352445933</v>
      </c>
      <c r="H56" s="725">
        <f t="shared" si="7"/>
        <v>0</v>
      </c>
      <c r="I56" s="725">
        <f t="shared" si="7"/>
        <v>0</v>
      </c>
      <c r="J56" s="725">
        <f t="shared" si="7"/>
        <v>0</v>
      </c>
      <c r="K56" s="725">
        <f t="shared" si="7"/>
        <v>141.28039390897396</v>
      </c>
      <c r="L56" s="725">
        <f t="shared" si="7"/>
        <v>0</v>
      </c>
      <c r="M56" s="725">
        <f t="shared" si="7"/>
        <v>0</v>
      </c>
      <c r="N56" s="725">
        <f t="shared" si="7"/>
        <v>0</v>
      </c>
      <c r="O56" s="725">
        <f t="shared" si="7"/>
        <v>0</v>
      </c>
      <c r="P56" s="725">
        <f t="shared" si="7"/>
        <v>0</v>
      </c>
      <c r="Q56" s="726">
        <f t="shared" si="7"/>
        <v>0</v>
      </c>
      <c r="R56" s="727">
        <f ca="1">SUM(R54:R55)</f>
        <v>2934.8364421471233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9359.9705024642608</v>
      </c>
      <c r="D61" s="733">
        <f t="shared" ref="D61:Q61" ca="1" si="8">D46+D52+D56</f>
        <v>5.4655255255255248</v>
      </c>
      <c r="E61" s="733">
        <f t="shared" ca="1" si="8"/>
        <v>18913.711396910388</v>
      </c>
      <c r="F61" s="733">
        <f t="shared" si="8"/>
        <v>2448.8058324778626</v>
      </c>
      <c r="G61" s="733">
        <f t="shared" ca="1" si="8"/>
        <v>4458.1516948136268</v>
      </c>
      <c r="H61" s="733">
        <f t="shared" si="8"/>
        <v>11483.024414988398</v>
      </c>
      <c r="I61" s="733">
        <f t="shared" si="8"/>
        <v>3013.3493760830161</v>
      </c>
      <c r="J61" s="733">
        <f t="shared" si="8"/>
        <v>0</v>
      </c>
      <c r="K61" s="733">
        <f t="shared" si="8"/>
        <v>141.3522157484102</v>
      </c>
      <c r="L61" s="733">
        <f t="shared" si="8"/>
        <v>0</v>
      </c>
      <c r="M61" s="733">
        <f t="shared" ca="1" si="8"/>
        <v>0</v>
      </c>
      <c r="N61" s="733">
        <f t="shared" si="8"/>
        <v>0</v>
      </c>
      <c r="O61" s="733">
        <f t="shared" ca="1" si="8"/>
        <v>0</v>
      </c>
      <c r="P61" s="733">
        <f t="shared" si="8"/>
        <v>0</v>
      </c>
      <c r="Q61" s="733">
        <f t="shared" si="8"/>
        <v>0</v>
      </c>
      <c r="R61" s="733">
        <f ca="1">R46+R52+R56</f>
        <v>49823.83095901148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0.18280841566061534</v>
      </c>
      <c r="D63" s="779">
        <f t="shared" ca="1" si="9"/>
        <v>0.22444444444444442</v>
      </c>
      <c r="E63" s="973">
        <f t="shared" ca="1" si="9"/>
        <v>0.20199999999999999</v>
      </c>
      <c r="F63" s="779">
        <f t="shared" si="9"/>
        <v>0.22700000000000001</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8848.4398160159926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17</v>
      </c>
      <c r="D76" s="956">
        <f>'lokale energieproductie'!C8</f>
        <v>18.888888888888886</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3.8155555555555551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8848.4398160159926</v>
      </c>
      <c r="C78" s="751">
        <f>SUM(C72:C77)</f>
        <v>17</v>
      </c>
      <c r="D78" s="752">
        <f t="shared" ref="D78:H78" si="10">SUM(D76:D77)</f>
        <v>18.888888888888886</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3.8155555555555551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24.351351351351351</v>
      </c>
      <c r="D87" s="775">
        <f>'lokale energieproductie'!C17</f>
        <v>27.057057057057051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5.4655255255255248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24.351351351351351</v>
      </c>
      <c r="D90" s="751">
        <f t="shared" ref="D90:H90" si="12">SUM(D87:D89)</f>
        <v>27.057057057057051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5.4655255255255248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8848.4398160159926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17</v>
      </c>
      <c r="C8" s="551">
        <f>B49</f>
        <v>18.888888888888886</v>
      </c>
      <c r="D8" s="552"/>
      <c r="E8" s="552">
        <f>E49</f>
        <v>0</v>
      </c>
      <c r="F8" s="553"/>
      <c r="G8" s="554"/>
      <c r="H8" s="552">
        <f>I49</f>
        <v>0</v>
      </c>
      <c r="I8" s="552">
        <f>G49+F49</f>
        <v>0</v>
      </c>
      <c r="J8" s="552">
        <f>H49+D49+C49</f>
        <v>0</v>
      </c>
      <c r="K8" s="552"/>
      <c r="L8" s="552"/>
      <c r="M8" s="552"/>
      <c r="N8" s="555"/>
      <c r="O8" s="556">
        <f>C8*$C$12+D8*$D$12+E8*$E$12+F8*$F$12+G8*$G$12+H8*$H$12+I8*$I$12+J8*$J$12</f>
        <v>3.8155555555555551</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8865.4398160159926</v>
      </c>
      <c r="C10" s="566">
        <f t="shared" ref="C10:L10" si="0">SUM(C8:C9)</f>
        <v>18.888888888888886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3.8155555555555551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24.351351351351351</v>
      </c>
      <c r="C17" s="582">
        <f>B50</f>
        <v>27.057057057057051</v>
      </c>
      <c r="D17" s="583"/>
      <c r="E17" s="583">
        <f>E50</f>
        <v>0</v>
      </c>
      <c r="F17" s="584"/>
      <c r="G17" s="585"/>
      <c r="H17" s="582">
        <f>I50</f>
        <v>0</v>
      </c>
      <c r="I17" s="583">
        <f>G50+F50</f>
        <v>0</v>
      </c>
      <c r="J17" s="583">
        <f>H50+D50+C50</f>
        <v>0</v>
      </c>
      <c r="K17" s="583"/>
      <c r="L17" s="583"/>
      <c r="M17" s="583"/>
      <c r="N17" s="970"/>
      <c r="O17" s="586">
        <f>C17*$C$22+E17*$E$22+H17*$H$22+I17*$I$22+J17*$J$22+D17*$D$22+F17*$F$22+G17*$G$22+K17*$K$22+L17*$L$22</f>
        <v>5.4655255255255248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24.351351351351351</v>
      </c>
      <c r="C20" s="565">
        <f>SUM(C17:C19)</f>
        <v>27.057057057057051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5.4655255255255248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72025</v>
      </c>
      <c r="C28" s="794">
        <v>3910</v>
      </c>
      <c r="D28" s="643" t="s">
        <v>865</v>
      </c>
      <c r="E28" s="642"/>
      <c r="F28" s="642" t="s">
        <v>866</v>
      </c>
      <c r="G28" s="642" t="s">
        <v>867</v>
      </c>
      <c r="H28" s="642" t="s">
        <v>868</v>
      </c>
      <c r="I28" s="642" t="s">
        <v>869</v>
      </c>
      <c r="J28" s="793">
        <v>43081</v>
      </c>
      <c r="K28" s="793">
        <v>43081</v>
      </c>
      <c r="L28" s="642" t="s">
        <v>870</v>
      </c>
      <c r="M28" s="642">
        <v>1.7</v>
      </c>
      <c r="N28" s="642">
        <v>8.5</v>
      </c>
      <c r="O28" s="642">
        <v>12.175675675675675</v>
      </c>
      <c r="P28" s="642">
        <v>22.972972972972972</v>
      </c>
      <c r="Q28" s="642">
        <v>0</v>
      </c>
      <c r="R28" s="642">
        <v>0</v>
      </c>
      <c r="S28" s="642">
        <v>0</v>
      </c>
      <c r="T28" s="642">
        <v>0</v>
      </c>
      <c r="U28" s="642">
        <v>0</v>
      </c>
      <c r="V28" s="642">
        <v>0</v>
      </c>
      <c r="W28" s="642">
        <v>0</v>
      </c>
      <c r="X28" s="642">
        <v>1200</v>
      </c>
      <c r="Y28" s="642" t="s">
        <v>52</v>
      </c>
      <c r="Z28" s="644" t="s">
        <v>155</v>
      </c>
    </row>
    <row r="29" spans="1:26" s="596" customFormat="1" ht="12.75">
      <c r="A29" s="595"/>
      <c r="B29" s="794">
        <v>72025</v>
      </c>
      <c r="C29" s="794">
        <v>3910</v>
      </c>
      <c r="D29" s="643" t="s">
        <v>871</v>
      </c>
      <c r="E29" s="642"/>
      <c r="F29" s="642" t="s">
        <v>872</v>
      </c>
      <c r="G29" s="642" t="s">
        <v>867</v>
      </c>
      <c r="H29" s="642" t="s">
        <v>868</v>
      </c>
      <c r="I29" s="642" t="s">
        <v>873</v>
      </c>
      <c r="J29" s="793">
        <v>43081</v>
      </c>
      <c r="K29" s="793">
        <v>43081</v>
      </c>
      <c r="L29" s="642" t="s">
        <v>870</v>
      </c>
      <c r="M29" s="642">
        <v>1.7</v>
      </c>
      <c r="N29" s="642">
        <v>8.5</v>
      </c>
      <c r="O29" s="642">
        <v>12.175675675675675</v>
      </c>
      <c r="P29" s="642">
        <v>22.972972972972972</v>
      </c>
      <c r="Q29" s="642">
        <v>0</v>
      </c>
      <c r="R29" s="642">
        <v>0</v>
      </c>
      <c r="S29" s="642">
        <v>0</v>
      </c>
      <c r="T29" s="642">
        <v>0</v>
      </c>
      <c r="U29" s="642">
        <v>0</v>
      </c>
      <c r="V29" s="642">
        <v>0</v>
      </c>
      <c r="W29" s="642">
        <v>0</v>
      </c>
      <c r="X29" s="642">
        <v>1200</v>
      </c>
      <c r="Y29" s="642" t="s">
        <v>52</v>
      </c>
      <c r="Z29" s="644" t="s">
        <v>155</v>
      </c>
    </row>
    <row r="30" spans="1:26" s="576" customFormat="1">
      <c r="A30" s="598" t="s">
        <v>279</v>
      </c>
      <c r="B30" s="599"/>
      <c r="C30" s="599"/>
      <c r="D30" s="599"/>
      <c r="E30" s="599"/>
      <c r="F30" s="599"/>
      <c r="G30" s="599"/>
      <c r="H30" s="599"/>
      <c r="I30" s="599"/>
      <c r="J30" s="599"/>
      <c r="K30" s="599"/>
      <c r="L30" s="600"/>
      <c r="M30" s="600">
        <f>SUM(M28:M29)</f>
        <v>3.4</v>
      </c>
      <c r="N30" s="600">
        <f>SUM(N28:N29)</f>
        <v>17</v>
      </c>
      <c r="O30" s="600">
        <f>SUM(O28:O29)</f>
        <v>24.351351351351351</v>
      </c>
      <c r="P30" s="600">
        <f>SUM(P28:P29)</f>
        <v>45.945945945945944</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3.4</v>
      </c>
      <c r="N32" s="600">
        <f ca="1">SUMIF($Z$28:AD29,"tertiair",N28:N29)</f>
        <v>17</v>
      </c>
      <c r="O32" s="600">
        <f ca="1">SUMIF($Z$28:AE29,"tertiair",O28:O29)</f>
        <v>24.351351351351351</v>
      </c>
      <c r="P32" s="600">
        <f ca="1">SUMIF($Z$28:AF29,"tertiair",P28:P29)</f>
        <v>45.945945945945944</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0.5888888888888888</v>
      </c>
      <c r="C46" s="625">
        <f>IF(ISERROR(N30/(O30+N30)),0,N30/(N30+O30))</f>
        <v>0.41111111111111109</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18.888888888888886</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27.057057057057051</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31729.008683859756</v>
      </c>
      <c r="C4" s="455">
        <f>huishoudens!C8</f>
        <v>0</v>
      </c>
      <c r="D4" s="455">
        <f>huishoudens!D8</f>
        <v>70630.802212047012</v>
      </c>
      <c r="E4" s="455">
        <f>huishoudens!E8</f>
        <v>10575.964663850307</v>
      </c>
      <c r="F4" s="455">
        <f>huishoudens!F8</f>
        <v>8596.7772251062233</v>
      </c>
      <c r="G4" s="455">
        <f>huishoudens!G8</f>
        <v>0</v>
      </c>
      <c r="H4" s="455">
        <f>huishoudens!H8</f>
        <v>0</v>
      </c>
      <c r="I4" s="455">
        <f>huishoudens!I8</f>
        <v>0</v>
      </c>
      <c r="J4" s="455">
        <f>huishoudens!J8</f>
        <v>0</v>
      </c>
      <c r="K4" s="455">
        <f>huishoudens!K8</f>
        <v>0</v>
      </c>
      <c r="L4" s="455">
        <f>huishoudens!L8</f>
        <v>0</v>
      </c>
      <c r="M4" s="455">
        <f>huishoudens!M8</f>
        <v>0</v>
      </c>
      <c r="N4" s="455">
        <f>huishoudens!N8</f>
        <v>18856.08743437325</v>
      </c>
      <c r="O4" s="455">
        <f>huishoudens!O8</f>
        <v>686.44954390791293</v>
      </c>
      <c r="P4" s="456">
        <f>huishoudens!P8</f>
        <v>895.38654115322686</v>
      </c>
      <c r="Q4" s="457">
        <f>SUM(B4:P4)</f>
        <v>141970.47630429768</v>
      </c>
    </row>
    <row r="5" spans="1:17">
      <c r="A5" s="454" t="s">
        <v>155</v>
      </c>
      <c r="B5" s="455">
        <f ca="1">tertiair!B16</f>
        <v>14152.962747</v>
      </c>
      <c r="C5" s="455">
        <f ca="1">tertiair!C16</f>
        <v>24.351351351351351</v>
      </c>
      <c r="D5" s="455">
        <f ca="1">tertiair!D16</f>
        <v>15866.756921738055</v>
      </c>
      <c r="E5" s="455">
        <f>tertiair!E16</f>
        <v>48.027747932113826</v>
      </c>
      <c r="F5" s="455">
        <f ca="1">tertiair!F16</f>
        <v>2455.1118956164851</v>
      </c>
      <c r="G5" s="455">
        <f>tertiair!G16</f>
        <v>0</v>
      </c>
      <c r="H5" s="455">
        <f>tertiair!H16</f>
        <v>0</v>
      </c>
      <c r="I5" s="455">
        <f>tertiair!I16</f>
        <v>0</v>
      </c>
      <c r="J5" s="455">
        <f>tertiair!J16</f>
        <v>2.1597199424007459E-2</v>
      </c>
      <c r="K5" s="455">
        <f>tertiair!K16</f>
        <v>0</v>
      </c>
      <c r="L5" s="455">
        <f ca="1">tertiair!L16</f>
        <v>0</v>
      </c>
      <c r="M5" s="455">
        <f>tertiair!M16</f>
        <v>0</v>
      </c>
      <c r="N5" s="455">
        <f ca="1">tertiair!N16</f>
        <v>797.11176174201933</v>
      </c>
      <c r="O5" s="455">
        <f>tertiair!O16</f>
        <v>0</v>
      </c>
      <c r="P5" s="456">
        <f>tertiair!P16</f>
        <v>52.539138306495019</v>
      </c>
      <c r="Q5" s="454">
        <f t="shared" ref="Q5:Q14" ca="1" si="0">SUM(B5:P5)</f>
        <v>33396.88316088594</v>
      </c>
    </row>
    <row r="6" spans="1:17">
      <c r="A6" s="454" t="s">
        <v>193</v>
      </c>
      <c r="B6" s="455">
        <f>'openbare verlichting'!B8</f>
        <v>1229.6767649999999</v>
      </c>
      <c r="C6" s="455"/>
      <c r="D6" s="455"/>
      <c r="E6" s="455"/>
      <c r="F6" s="455"/>
      <c r="G6" s="455"/>
      <c r="H6" s="455"/>
      <c r="I6" s="455"/>
      <c r="J6" s="455"/>
      <c r="K6" s="455"/>
      <c r="L6" s="455"/>
      <c r="M6" s="455"/>
      <c r="N6" s="455"/>
      <c r="O6" s="455"/>
      <c r="P6" s="456"/>
      <c r="Q6" s="454">
        <f t="shared" si="0"/>
        <v>1229.6767649999999</v>
      </c>
    </row>
    <row r="7" spans="1:17">
      <c r="A7" s="454" t="s">
        <v>111</v>
      </c>
      <c r="B7" s="455">
        <f>landbouw!B8</f>
        <v>1520.3415319999999</v>
      </c>
      <c r="C7" s="455">
        <f>landbouw!C8</f>
        <v>0</v>
      </c>
      <c r="D7" s="455">
        <f>landbouw!D8</f>
        <v>157.311354585</v>
      </c>
      <c r="E7" s="455">
        <f>landbouw!E8</f>
        <v>56.698186121286973</v>
      </c>
      <c r="F7" s="455">
        <f>landbouw!F8</f>
        <v>4932.5754129010984</v>
      </c>
      <c r="G7" s="455">
        <f>landbouw!G8</f>
        <v>0</v>
      </c>
      <c r="H7" s="455">
        <f>landbouw!H8</f>
        <v>0</v>
      </c>
      <c r="I7" s="455">
        <f>landbouw!I8</f>
        <v>0</v>
      </c>
      <c r="J7" s="455">
        <f>landbouw!J8</f>
        <v>399.09715793495474</v>
      </c>
      <c r="K7" s="455">
        <f>landbouw!K8</f>
        <v>0</v>
      </c>
      <c r="L7" s="455">
        <f>landbouw!L8</f>
        <v>0</v>
      </c>
      <c r="M7" s="455">
        <f>landbouw!M8</f>
        <v>0</v>
      </c>
      <c r="N7" s="455">
        <f>landbouw!N8</f>
        <v>0</v>
      </c>
      <c r="O7" s="455">
        <f>landbouw!O8</f>
        <v>0</v>
      </c>
      <c r="P7" s="456">
        <f>landbouw!P8</f>
        <v>0</v>
      </c>
      <c r="Q7" s="454">
        <f t="shared" si="0"/>
        <v>7066.0236435423394</v>
      </c>
    </row>
    <row r="8" spans="1:17">
      <c r="A8" s="454" t="s">
        <v>626</v>
      </c>
      <c r="B8" s="455">
        <f>industrie!B18</f>
        <v>1806.5428319999999</v>
      </c>
      <c r="C8" s="455">
        <f>industrie!C18</f>
        <v>0</v>
      </c>
      <c r="D8" s="455">
        <f>industrie!D18</f>
        <v>1726.268187357</v>
      </c>
      <c r="E8" s="455">
        <f>industrie!E18</f>
        <v>6.0633396781482878</v>
      </c>
      <c r="F8" s="455">
        <f>industrie!F18</f>
        <v>712.73282522872375</v>
      </c>
      <c r="G8" s="455">
        <f>industrie!G18</f>
        <v>0</v>
      </c>
      <c r="H8" s="455">
        <f>industrie!H18</f>
        <v>0</v>
      </c>
      <c r="I8" s="455">
        <f>industrie!I18</f>
        <v>0</v>
      </c>
      <c r="J8" s="455">
        <f>industrie!J18</f>
        <v>0.18128935265574839</v>
      </c>
      <c r="K8" s="455">
        <f>industrie!K18</f>
        <v>0</v>
      </c>
      <c r="L8" s="455">
        <f>industrie!L18</f>
        <v>0</v>
      </c>
      <c r="M8" s="455">
        <f>industrie!M18</f>
        <v>0</v>
      </c>
      <c r="N8" s="455">
        <f>industrie!N18</f>
        <v>105.5254933214715</v>
      </c>
      <c r="O8" s="455">
        <f>industrie!O18</f>
        <v>0</v>
      </c>
      <c r="P8" s="456">
        <f>industrie!P18</f>
        <v>0</v>
      </c>
      <c r="Q8" s="454">
        <f t="shared" si="0"/>
        <v>4357.3139669379998</v>
      </c>
    </row>
    <row r="9" spans="1:17" s="460" customFormat="1">
      <c r="A9" s="458" t="s">
        <v>552</v>
      </c>
      <c r="B9" s="459">
        <f>transport!B14</f>
        <v>41.762301349461467</v>
      </c>
      <c r="C9" s="459">
        <f>transport!C14</f>
        <v>0</v>
      </c>
      <c r="D9" s="459">
        <f>transport!D14</f>
        <v>190.54137044318361</v>
      </c>
      <c r="E9" s="459">
        <f>transport!E14</f>
        <v>100.93695439110634</v>
      </c>
      <c r="F9" s="459">
        <f>transport!F14</f>
        <v>0</v>
      </c>
      <c r="G9" s="459">
        <f>transport!G14</f>
        <v>41468.705273249696</v>
      </c>
      <c r="H9" s="459">
        <f>transport!H14</f>
        <v>12101.804723224965</v>
      </c>
      <c r="I9" s="459">
        <f>transport!I14</f>
        <v>0</v>
      </c>
      <c r="J9" s="459">
        <f>transport!J14</f>
        <v>0</v>
      </c>
      <c r="K9" s="459">
        <f>transport!K14</f>
        <v>0</v>
      </c>
      <c r="L9" s="459">
        <f>transport!L14</f>
        <v>0</v>
      </c>
      <c r="M9" s="459">
        <f>transport!M14</f>
        <v>3176.0246442226785</v>
      </c>
      <c r="N9" s="459">
        <f>transport!N14</f>
        <v>0</v>
      </c>
      <c r="O9" s="459">
        <f>transport!O14</f>
        <v>0</v>
      </c>
      <c r="P9" s="459">
        <f>transport!P14</f>
        <v>0</v>
      </c>
      <c r="Q9" s="458">
        <f>SUM(B9:P9)</f>
        <v>57079.775266881094</v>
      </c>
    </row>
    <row r="10" spans="1:17">
      <c r="A10" s="454" t="s">
        <v>542</v>
      </c>
      <c r="B10" s="455">
        <f>transport!B54</f>
        <v>0</v>
      </c>
      <c r="C10" s="455">
        <f>transport!C54</f>
        <v>0</v>
      </c>
      <c r="D10" s="455">
        <f>transport!D54</f>
        <v>0</v>
      </c>
      <c r="E10" s="455">
        <f>transport!E54</f>
        <v>0</v>
      </c>
      <c r="F10" s="455">
        <f>transport!F54</f>
        <v>0</v>
      </c>
      <c r="G10" s="455">
        <f>transport!G54</f>
        <v>1538.8768053585352</v>
      </c>
      <c r="H10" s="455">
        <f>transport!H54</f>
        <v>0</v>
      </c>
      <c r="I10" s="455">
        <f>transport!I54</f>
        <v>0</v>
      </c>
      <c r="J10" s="455">
        <f>transport!J54</f>
        <v>0</v>
      </c>
      <c r="K10" s="455">
        <f>transport!K54</f>
        <v>0</v>
      </c>
      <c r="L10" s="455">
        <f>transport!L54</f>
        <v>0</v>
      </c>
      <c r="M10" s="455">
        <f>transport!M54</f>
        <v>83.508220267559551</v>
      </c>
      <c r="N10" s="455">
        <f>transport!N54</f>
        <v>0</v>
      </c>
      <c r="O10" s="455">
        <f>transport!O54</f>
        <v>0</v>
      </c>
      <c r="P10" s="456">
        <f>transport!P54</f>
        <v>0</v>
      </c>
      <c r="Q10" s="454">
        <f t="shared" si="0"/>
        <v>1622.3850256260948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720.68770099999995</v>
      </c>
      <c r="C14" s="462"/>
      <c r="D14" s="462">
        <f>'SEAP template'!E25</f>
        <v>5060.5545920000004</v>
      </c>
      <c r="E14" s="462"/>
      <c r="F14" s="462"/>
      <c r="G14" s="462"/>
      <c r="H14" s="462"/>
      <c r="I14" s="462"/>
      <c r="J14" s="462"/>
      <c r="K14" s="462"/>
      <c r="L14" s="462"/>
      <c r="M14" s="462"/>
      <c r="N14" s="462"/>
      <c r="O14" s="462"/>
      <c r="P14" s="463"/>
      <c r="Q14" s="454">
        <f t="shared" si="0"/>
        <v>5781.2422930000002</v>
      </c>
    </row>
    <row r="15" spans="1:17" s="466" customFormat="1">
      <c r="A15" s="464" t="s">
        <v>546</v>
      </c>
      <c r="B15" s="465">
        <f ca="1">SUM(B4:B14)</f>
        <v>51200.98256220921</v>
      </c>
      <c r="C15" s="465">
        <f t="shared" ref="C15:Q15" ca="1" si="1">SUM(C4:C14)</f>
        <v>24.351351351351351</v>
      </c>
      <c r="D15" s="465">
        <f t="shared" ca="1" si="1"/>
        <v>93632.234638170252</v>
      </c>
      <c r="E15" s="465">
        <f t="shared" si="1"/>
        <v>10787.690891972963</v>
      </c>
      <c r="F15" s="465">
        <f t="shared" ca="1" si="1"/>
        <v>16697.197358852529</v>
      </c>
      <c r="G15" s="465">
        <f t="shared" si="1"/>
        <v>43007.582078608233</v>
      </c>
      <c r="H15" s="465">
        <f t="shared" si="1"/>
        <v>12101.804723224965</v>
      </c>
      <c r="I15" s="465">
        <f t="shared" si="1"/>
        <v>0</v>
      </c>
      <c r="J15" s="465">
        <f t="shared" si="1"/>
        <v>399.30004448703448</v>
      </c>
      <c r="K15" s="465">
        <f t="shared" si="1"/>
        <v>0</v>
      </c>
      <c r="L15" s="465">
        <f t="shared" ca="1" si="1"/>
        <v>0</v>
      </c>
      <c r="M15" s="465">
        <f t="shared" si="1"/>
        <v>3259.5328644902379</v>
      </c>
      <c r="N15" s="465">
        <f t="shared" ca="1" si="1"/>
        <v>19758.724689436742</v>
      </c>
      <c r="O15" s="465">
        <f t="shared" si="1"/>
        <v>686.44954390791293</v>
      </c>
      <c r="P15" s="465">
        <f t="shared" si="1"/>
        <v>947.92567945972189</v>
      </c>
      <c r="Q15" s="465">
        <f t="shared" ca="1" si="1"/>
        <v>252503.77642617119</v>
      </c>
    </row>
    <row r="17" spans="1:17">
      <c r="A17" s="467" t="s">
        <v>547</v>
      </c>
      <c r="B17" s="784">
        <f ca="1">huishoudens!B10</f>
        <v>0.18280841566061531</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5800.3298079783071</v>
      </c>
      <c r="C22" s="455">
        <f t="shared" ref="C22:C32" ca="1" si="3">C4*$C$17</f>
        <v>0</v>
      </c>
      <c r="D22" s="455">
        <f t="shared" ref="D22:D32" si="4">D4*$D$17</f>
        <v>14267.422046833497</v>
      </c>
      <c r="E22" s="455">
        <f t="shared" ref="E22:E32" si="5">E4*$E$17</f>
        <v>2400.7439786940199</v>
      </c>
      <c r="F22" s="455">
        <f t="shared" ref="F22:F32" si="6">F4*$F$17</f>
        <v>2295.3395191033619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24763.835352609185</v>
      </c>
    </row>
    <row r="23" spans="1:17">
      <c r="A23" s="454" t="s">
        <v>155</v>
      </c>
      <c r="B23" s="455">
        <f t="shared" ca="1" si="2"/>
        <v>2587.2806966827798</v>
      </c>
      <c r="C23" s="455">
        <f t="shared" ca="1" si="3"/>
        <v>5.4655255255255248</v>
      </c>
      <c r="D23" s="455">
        <f t="shared" ca="1" si="4"/>
        <v>3205.0848981910872</v>
      </c>
      <c r="E23" s="455">
        <f t="shared" si="5"/>
        <v>10.902298780589838</v>
      </c>
      <c r="F23" s="455">
        <f t="shared" ca="1" si="6"/>
        <v>655.51487612960159</v>
      </c>
      <c r="G23" s="455">
        <f t="shared" si="7"/>
        <v>0</v>
      </c>
      <c r="H23" s="455">
        <f t="shared" si="8"/>
        <v>0</v>
      </c>
      <c r="I23" s="455">
        <f t="shared" si="9"/>
        <v>0</v>
      </c>
      <c r="J23" s="455">
        <f t="shared" si="10"/>
        <v>7.6454085960986403E-3</v>
      </c>
      <c r="K23" s="455">
        <f t="shared" si="11"/>
        <v>0</v>
      </c>
      <c r="L23" s="455">
        <f t="shared" ca="1" si="12"/>
        <v>0</v>
      </c>
      <c r="M23" s="455">
        <f t="shared" si="13"/>
        <v>0</v>
      </c>
      <c r="N23" s="455">
        <f t="shared" ca="1" si="14"/>
        <v>0</v>
      </c>
      <c r="O23" s="455">
        <f t="shared" si="15"/>
        <v>0</v>
      </c>
      <c r="P23" s="456">
        <f t="shared" si="16"/>
        <v>0</v>
      </c>
      <c r="Q23" s="454">
        <f t="shared" ref="Q23:Q31" ca="1" si="17">SUM(B23:P23)</f>
        <v>6464.2559407181807</v>
      </c>
    </row>
    <row r="24" spans="1:17">
      <c r="A24" s="454" t="s">
        <v>193</v>
      </c>
      <c r="B24" s="455">
        <f t="shared" ca="1" si="2"/>
        <v>224.79526118432076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224.79526118432076</v>
      </c>
    </row>
    <row r="25" spans="1:17">
      <c r="A25" s="454" t="s">
        <v>111</v>
      </c>
      <c r="B25" s="455">
        <f t="shared" ca="1" si="2"/>
        <v>277.93122672795266</v>
      </c>
      <c r="C25" s="455">
        <f t="shared" ca="1" si="3"/>
        <v>0</v>
      </c>
      <c r="D25" s="455">
        <f t="shared" si="4"/>
        <v>31.776893626170004</v>
      </c>
      <c r="E25" s="455">
        <f t="shared" si="5"/>
        <v>12.870488249532142</v>
      </c>
      <c r="F25" s="455">
        <f t="shared" si="6"/>
        <v>1316.9976352445933</v>
      </c>
      <c r="G25" s="455">
        <f t="shared" si="7"/>
        <v>0</v>
      </c>
      <c r="H25" s="455">
        <f t="shared" si="8"/>
        <v>0</v>
      </c>
      <c r="I25" s="455">
        <f t="shared" si="9"/>
        <v>0</v>
      </c>
      <c r="J25" s="455">
        <f t="shared" si="10"/>
        <v>141.28039390897396</v>
      </c>
      <c r="K25" s="455">
        <f t="shared" si="11"/>
        <v>0</v>
      </c>
      <c r="L25" s="455">
        <f t="shared" si="12"/>
        <v>0</v>
      </c>
      <c r="M25" s="455">
        <f t="shared" si="13"/>
        <v>0</v>
      </c>
      <c r="N25" s="455">
        <f t="shared" si="14"/>
        <v>0</v>
      </c>
      <c r="O25" s="455">
        <f t="shared" si="15"/>
        <v>0</v>
      </c>
      <c r="P25" s="456">
        <f t="shared" si="16"/>
        <v>0</v>
      </c>
      <c r="Q25" s="454">
        <f t="shared" ca="1" si="17"/>
        <v>1780.8566377572222</v>
      </c>
    </row>
    <row r="26" spans="1:17">
      <c r="A26" s="454" t="s">
        <v>626</v>
      </c>
      <c r="B26" s="455">
        <f t="shared" ca="1" si="2"/>
        <v>330.25123294096113</v>
      </c>
      <c r="C26" s="455">
        <f t="shared" ca="1" si="3"/>
        <v>0</v>
      </c>
      <c r="D26" s="455">
        <f t="shared" si="4"/>
        <v>348.70617384611404</v>
      </c>
      <c r="E26" s="455">
        <f t="shared" si="5"/>
        <v>1.3763781069396614</v>
      </c>
      <c r="F26" s="455">
        <f t="shared" si="6"/>
        <v>190.29966433606924</v>
      </c>
      <c r="G26" s="455">
        <f t="shared" si="7"/>
        <v>0</v>
      </c>
      <c r="H26" s="455">
        <f t="shared" si="8"/>
        <v>0</v>
      </c>
      <c r="I26" s="455">
        <f t="shared" si="9"/>
        <v>0</v>
      </c>
      <c r="J26" s="455">
        <f t="shared" si="10"/>
        <v>6.4176430840134926E-2</v>
      </c>
      <c r="K26" s="455">
        <f t="shared" si="11"/>
        <v>0</v>
      </c>
      <c r="L26" s="455">
        <f t="shared" si="12"/>
        <v>0</v>
      </c>
      <c r="M26" s="455">
        <f t="shared" si="13"/>
        <v>0</v>
      </c>
      <c r="N26" s="455">
        <f t="shared" si="14"/>
        <v>0</v>
      </c>
      <c r="O26" s="455">
        <f t="shared" si="15"/>
        <v>0</v>
      </c>
      <c r="P26" s="456">
        <f t="shared" si="16"/>
        <v>0</v>
      </c>
      <c r="Q26" s="454">
        <f t="shared" ca="1" si="17"/>
        <v>870.69762566092413</v>
      </c>
    </row>
    <row r="27" spans="1:17" s="460" customFormat="1">
      <c r="A27" s="458" t="s">
        <v>552</v>
      </c>
      <c r="B27" s="778">
        <f t="shared" ca="1" si="2"/>
        <v>7.6345001440362275</v>
      </c>
      <c r="C27" s="459">
        <f t="shared" ca="1" si="3"/>
        <v>0</v>
      </c>
      <c r="D27" s="459">
        <f t="shared" si="4"/>
        <v>38.489356829523089</v>
      </c>
      <c r="E27" s="459">
        <f t="shared" si="5"/>
        <v>22.912688646781142</v>
      </c>
      <c r="F27" s="459">
        <f t="shared" si="6"/>
        <v>0</v>
      </c>
      <c r="G27" s="459">
        <f t="shared" si="7"/>
        <v>11072.144307957669</v>
      </c>
      <c r="H27" s="459">
        <f t="shared" si="8"/>
        <v>3013.3493760830161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14154.530229661024</v>
      </c>
    </row>
    <row r="28" spans="1:17" ht="16.5" customHeight="1">
      <c r="A28" s="454" t="s">
        <v>542</v>
      </c>
      <c r="B28" s="455">
        <f t="shared" ca="1" si="2"/>
        <v>0</v>
      </c>
      <c r="C28" s="455">
        <f t="shared" ca="1" si="3"/>
        <v>0</v>
      </c>
      <c r="D28" s="455">
        <f t="shared" si="4"/>
        <v>0</v>
      </c>
      <c r="E28" s="455">
        <f t="shared" si="5"/>
        <v>0</v>
      </c>
      <c r="F28" s="455">
        <f t="shared" si="6"/>
        <v>0</v>
      </c>
      <c r="G28" s="455">
        <f t="shared" si="7"/>
        <v>410.88010703072894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410.88010703072894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131.74777680590122</v>
      </c>
      <c r="C32" s="455">
        <f t="shared" ca="1" si="3"/>
        <v>0</v>
      </c>
      <c r="D32" s="455">
        <f t="shared" si="4"/>
        <v>1022.2320275840001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1153.9798043899013</v>
      </c>
    </row>
    <row r="33" spans="1:17" s="466" customFormat="1">
      <c r="A33" s="464" t="s">
        <v>546</v>
      </c>
      <c r="B33" s="465">
        <f ca="1">SUM(B22:B32)</f>
        <v>9359.9705024642608</v>
      </c>
      <c r="C33" s="465">
        <f t="shared" ref="C33:Q33" ca="1" si="19">SUM(C22:C32)</f>
        <v>5.4655255255255248</v>
      </c>
      <c r="D33" s="465">
        <f t="shared" ca="1" si="19"/>
        <v>18913.711396910388</v>
      </c>
      <c r="E33" s="465">
        <f t="shared" si="19"/>
        <v>2448.8058324778626</v>
      </c>
      <c r="F33" s="465">
        <f t="shared" ca="1" si="19"/>
        <v>4458.1516948136268</v>
      </c>
      <c r="G33" s="465">
        <f t="shared" si="19"/>
        <v>11483.024414988398</v>
      </c>
      <c r="H33" s="465">
        <f t="shared" si="19"/>
        <v>3013.3493760830161</v>
      </c>
      <c r="I33" s="465">
        <f t="shared" si="19"/>
        <v>0</v>
      </c>
      <c r="J33" s="465">
        <f t="shared" si="19"/>
        <v>141.3522157484102</v>
      </c>
      <c r="K33" s="465">
        <f t="shared" si="19"/>
        <v>0</v>
      </c>
      <c r="L33" s="465">
        <f t="shared" ca="1" si="19"/>
        <v>0</v>
      </c>
      <c r="M33" s="465">
        <f t="shared" si="19"/>
        <v>0</v>
      </c>
      <c r="N33" s="465">
        <f t="shared" ca="1" si="19"/>
        <v>0</v>
      </c>
      <c r="O33" s="465">
        <f t="shared" si="19"/>
        <v>0</v>
      </c>
      <c r="P33" s="465">
        <f t="shared" si="19"/>
        <v>0</v>
      </c>
      <c r="Q33" s="465">
        <f t="shared" ca="1" si="19"/>
        <v>49823.830959011488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8848.4398160159926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17</v>
      </c>
      <c r="D8" s="1026">
        <f>'SEAP template'!D76</f>
        <v>18.888888888888886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3.8155555555555551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8848.4398160159926</v>
      </c>
      <c r="C10" s="1028">
        <f>SUM(C4:C9)</f>
        <v>17</v>
      </c>
      <c r="D10" s="1028">
        <f t="shared" ref="D10:H10" si="0">SUM(D8:D9)</f>
        <v>18.888888888888886</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3.8155555555555551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0.18280841566061531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24.351351351351351</v>
      </c>
      <c r="D17" s="1027">
        <f>'SEAP template'!D87</f>
        <v>27.057057057057051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5.4655255255255248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24.351351351351351</v>
      </c>
      <c r="D20" s="1028">
        <f t="shared" ref="D20:H20" si="2">SUM(D17:D19)</f>
        <v>27.057057057057051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5.4655255255255248</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0.18280841566061531</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2020-06-20T15:26:40Z</dcterms:modified>
</cp:coreProperties>
</file>